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https://ssecom.sharepoint.com/teams/PSCSNS/Shared Documents/General/PSCSNS - Migration/Tariffs/2024-25/Final/SEPD/CDCM/"/>
    </mc:Choice>
  </mc:AlternateContent>
  <xr:revisionPtr revIDLastSave="1" documentId="8_{C7735693-F613-4398-A7BC-85A8B70D3276}" xr6:coauthVersionLast="47" xr6:coauthVersionMax="47" xr10:uidLastSave="{18978509-7A60-4115-B20E-5B13396E5485}"/>
  <workbookProtection lockStructure="1"/>
  <bookViews>
    <workbookView xWindow="-110" yWindow="-110" windowWidth="19420" windowHeight="10420" tabRatio="933" xr2:uid="{00000000-000D-0000-FFFF-FFFF00000000}"/>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inputs'!$H$93</definedName>
    <definedName name="DNO_name" comment="Name of DNO">Cover!$D$21</definedName>
    <definedName name="hours_in_day" comment="Hours per day">'Fixed inputs'!$H$15</definedName>
    <definedName name="hours_in_year" comment="Hours in the charging year">'General inputs'!$H$94</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9" i="82" l="1"/>
  <c r="H29" i="82"/>
  <c r="H66" i="41"/>
  <c r="H65" i="41"/>
  <c r="H64" i="41"/>
  <c r="Y28" i="112"/>
  <c r="X28" i="112"/>
  <c r="W28" i="112"/>
  <c r="V28" i="112"/>
  <c r="U28" i="112"/>
  <c r="T28" i="112"/>
  <c r="S28" i="112"/>
  <c r="R28" i="112"/>
  <c r="Q28" i="112"/>
  <c r="P28" i="112"/>
  <c r="O28" i="112"/>
  <c r="N28" i="112"/>
  <c r="M28" i="112"/>
  <c r="L28" i="112"/>
  <c r="K28" i="112"/>
  <c r="J28" i="112"/>
  <c r="Y27" i="112"/>
  <c r="X27" i="112"/>
  <c r="W27" i="112"/>
  <c r="V27" i="112"/>
  <c r="U27" i="112"/>
  <c r="T27" i="112"/>
  <c r="S27" i="112"/>
  <c r="R27" i="112"/>
  <c r="Q27" i="112"/>
  <c r="P27" i="112"/>
  <c r="O27" i="112"/>
  <c r="N27" i="112"/>
  <c r="M27" i="112"/>
  <c r="L27" i="112"/>
  <c r="K27" i="112"/>
  <c r="J27" i="112"/>
  <c r="Y26" i="112"/>
  <c r="X26" i="112"/>
  <c r="W26" i="112"/>
  <c r="V26" i="112"/>
  <c r="U26" i="112"/>
  <c r="T26" i="112"/>
  <c r="S26" i="112"/>
  <c r="R26" i="112"/>
  <c r="Q26" i="112"/>
  <c r="P26" i="112"/>
  <c r="O26" i="112"/>
  <c r="N26" i="112"/>
  <c r="M26" i="112"/>
  <c r="L26" i="112"/>
  <c r="K26" i="112"/>
  <c r="H32" i="112"/>
  <c r="H33" i="112"/>
  <c r="H57" i="89"/>
  <c r="H70" i="89"/>
  <c r="M49" i="112" l="1"/>
  <c r="Q49" i="112"/>
  <c r="U49" i="112"/>
  <c r="Y49" i="112"/>
  <c r="X49" i="112"/>
  <c r="W49" i="112"/>
  <c r="V49" i="112"/>
  <c r="T49" i="112"/>
  <c r="S49" i="112"/>
  <c r="R49" i="112"/>
  <c r="K49" i="112"/>
  <c r="H31" i="112"/>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7" i="41"/>
  <c r="AN197" i="41"/>
  <c r="AM197" i="41"/>
  <c r="AL197" i="41"/>
  <c r="AK197" i="41"/>
  <c r="AJ197" i="41"/>
  <c r="AI197" i="41"/>
  <c r="AH197" i="41"/>
  <c r="AB197" i="41"/>
  <c r="W197" i="41"/>
  <c r="R197" i="41"/>
  <c r="Q197" i="41"/>
  <c r="L197" i="41"/>
  <c r="K197"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6" i="41"/>
  <c r="AN206" i="41"/>
  <c r="AM206" i="41"/>
  <c r="AL206" i="41"/>
  <c r="AK206" i="41"/>
  <c r="AJ206" i="41"/>
  <c r="AI206" i="41"/>
  <c r="AH206" i="41"/>
  <c r="AB206" i="41"/>
  <c r="W206" i="41"/>
  <c r="R206" i="41"/>
  <c r="Q206" i="41"/>
  <c r="L206" i="41"/>
  <c r="K206"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2" i="41"/>
  <c r="AF102" i="41"/>
  <c r="AE102" i="41"/>
  <c r="AD102" i="41"/>
  <c r="AC102" i="41"/>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A102" i="41"/>
  <c r="Z102" i="41"/>
  <c r="Y102" i="41"/>
  <c r="X102"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V102" i="41"/>
  <c r="U102" i="41"/>
  <c r="T102" i="41"/>
  <c r="S102"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P102" i="41"/>
  <c r="O102" i="41"/>
  <c r="N102" i="41"/>
  <c r="M102"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J102" i="41"/>
  <c r="J101" i="41"/>
  <c r="J100" i="41"/>
  <c r="J99" i="41"/>
  <c r="J98" i="41"/>
  <c r="J97" i="41"/>
  <c r="J96" i="41"/>
  <c r="AO148" i="41" a="1"/>
  <c r="AO148" i="41" s="1"/>
  <c r="AN148" i="41" a="1"/>
  <c r="AN148" i="41" s="1"/>
  <c r="AM148" i="41" a="1"/>
  <c r="AM148" i="41" s="1"/>
  <c r="AL148" i="41" a="1"/>
  <c r="AL148" i="41" s="1"/>
  <c r="AK148" i="41" a="1"/>
  <c r="AK148" i="41" s="1"/>
  <c r="AJ148" i="41" a="1"/>
  <c r="AJ148" i="41" s="1"/>
  <c r="AI148" i="41" a="1"/>
  <c r="AI148" i="41" s="1"/>
  <c r="AH148" i="41" a="1"/>
  <c r="AH148" i="41" s="1"/>
  <c r="AB148" i="41" a="1"/>
  <c r="AB148" i="41" s="1"/>
  <c r="W148" i="41" a="1"/>
  <c r="W148" i="41" s="1"/>
  <c r="R148" i="41" a="1"/>
  <c r="R148" i="41" s="1"/>
  <c r="Q148" i="41" a="1"/>
  <c r="Q148" i="41" s="1"/>
  <c r="L148" i="41" a="1"/>
  <c r="L148" i="41" s="1"/>
  <c r="K148" i="41" a="1"/>
  <c r="K148" i="41" s="1"/>
  <c r="H124" i="41"/>
  <c r="AG34" i="41"/>
  <c r="AF34" i="41"/>
  <c r="AF206" i="41" s="1"/>
  <c r="AE34" i="41"/>
  <c r="AE206" i="41" s="1"/>
  <c r="AD34" i="41"/>
  <c r="AD206" i="41" s="1"/>
  <c r="AC34" i="41"/>
  <c r="AC206" i="41" s="1"/>
  <c r="AA34" i="41"/>
  <c r="AA206" i="41" s="1"/>
  <c r="Z34" i="41"/>
  <c r="Z206" i="41" s="1"/>
  <c r="Y34" i="41"/>
  <c r="Y206" i="41" s="1"/>
  <c r="X34" i="41"/>
  <c r="X206" i="41" s="1"/>
  <c r="V34" i="41"/>
  <c r="V206" i="41" s="1"/>
  <c r="U34" i="41"/>
  <c r="U206" i="41" s="1"/>
  <c r="T34" i="41"/>
  <c r="T206" i="41" s="1"/>
  <c r="S34" i="41"/>
  <c r="S206" i="41" s="1"/>
  <c r="P34" i="41"/>
  <c r="P206" i="41" s="1"/>
  <c r="O34" i="41"/>
  <c r="O206" i="41" s="1"/>
  <c r="N34" i="41"/>
  <c r="N206" i="41" s="1"/>
  <c r="M34" i="41"/>
  <c r="M206" i="41" s="1"/>
  <c r="AG33" i="41"/>
  <c r="AG197" i="41" s="1"/>
  <c r="AF33" i="41"/>
  <c r="AE33" i="41"/>
  <c r="AD33" i="41"/>
  <c r="AC33" i="41"/>
  <c r="AA33" i="41"/>
  <c r="Z33" i="41"/>
  <c r="Y33" i="41"/>
  <c r="X33" i="41"/>
  <c r="V33" i="41"/>
  <c r="U33" i="41"/>
  <c r="T33" i="41"/>
  <c r="S33" i="41"/>
  <c r="P33" i="41"/>
  <c r="O33" i="41"/>
  <c r="N33" i="41"/>
  <c r="M33" i="41"/>
  <c r="J34" i="41"/>
  <c r="J206"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4" i="41" l="1"/>
  <c r="K376" i="41" s="1"/>
  <c r="K387" i="41" s="1"/>
  <c r="K310" i="41"/>
  <c r="K309" i="41"/>
  <c r="K308" i="41"/>
  <c r="K342" i="41"/>
  <c r="K341" i="41"/>
  <c r="W374" i="41"/>
  <c r="W376" i="41" s="1"/>
  <c r="W387" i="41" s="1"/>
  <c r="W310" i="41"/>
  <c r="W309" i="41"/>
  <c r="W308" i="41"/>
  <c r="W342" i="41"/>
  <c r="W341" i="41"/>
  <c r="AI374" i="41"/>
  <c r="AI376" i="41" s="1"/>
  <c r="AI387" i="41" s="1"/>
  <c r="AI310" i="41"/>
  <c r="AI309" i="41"/>
  <c r="AI308" i="41"/>
  <c r="AI342" i="41"/>
  <c r="AI341" i="41"/>
  <c r="AM374" i="41"/>
  <c r="AM376" i="41" s="1"/>
  <c r="AM387" i="41" s="1"/>
  <c r="AM310" i="41"/>
  <c r="AM309" i="41"/>
  <c r="AM308" i="41"/>
  <c r="AM342" i="41"/>
  <c r="AM341" i="41"/>
  <c r="L374" i="41"/>
  <c r="L376" i="41" s="1"/>
  <c r="L387" i="41" s="1"/>
  <c r="L342" i="41"/>
  <c r="L341" i="41"/>
  <c r="L310" i="41"/>
  <c r="L309" i="41"/>
  <c r="L308" i="41"/>
  <c r="AB374" i="41"/>
  <c r="AB376" i="41" s="1"/>
  <c r="AB387" i="41" s="1"/>
  <c r="AB342" i="41"/>
  <c r="AB341" i="41"/>
  <c r="AB310" i="41"/>
  <c r="AB309" i="41"/>
  <c r="AB308" i="41"/>
  <c r="AJ374" i="41"/>
  <c r="AJ376" i="41" s="1"/>
  <c r="AJ387" i="41" s="1"/>
  <c r="AJ342" i="41"/>
  <c r="AJ341" i="41"/>
  <c r="AJ310" i="41"/>
  <c r="AJ309" i="41"/>
  <c r="AJ308" i="41"/>
  <c r="AN374" i="41"/>
  <c r="AN376" i="41" s="1"/>
  <c r="AN387" i="41" s="1"/>
  <c r="AN310" i="41"/>
  <c r="AN309" i="41"/>
  <c r="AN308" i="41"/>
  <c r="AN342" i="41"/>
  <c r="AN341" i="41"/>
  <c r="Q154" i="41"/>
  <c r="Q342" i="41"/>
  <c r="Q341" i="41"/>
  <c r="Q374" i="41"/>
  <c r="Q376" i="41" s="1"/>
  <c r="Q387" i="41" s="1"/>
  <c r="Q310" i="41"/>
  <c r="Q309" i="41"/>
  <c r="Q308" i="41"/>
  <c r="AK154" i="41"/>
  <c r="AK374" i="41"/>
  <c r="AK376" i="41" s="1"/>
  <c r="AK387" i="41" s="1"/>
  <c r="AK342" i="41"/>
  <c r="AK341" i="41"/>
  <c r="AK310" i="41"/>
  <c r="AK309" i="41"/>
  <c r="AK308" i="41"/>
  <c r="AO154" i="41"/>
  <c r="AO342" i="41"/>
  <c r="AO341" i="41"/>
  <c r="AO374" i="41"/>
  <c r="AO376" i="41" s="1"/>
  <c r="AO387" i="41" s="1"/>
  <c r="AO310" i="41"/>
  <c r="AO309" i="41"/>
  <c r="AO308" i="41"/>
  <c r="R154" i="41"/>
  <c r="R342" i="41"/>
  <c r="R341" i="41"/>
  <c r="R310" i="41"/>
  <c r="R309" i="41"/>
  <c r="R308" i="41"/>
  <c r="R374" i="41"/>
  <c r="R376" i="41" s="1"/>
  <c r="R387" i="41" s="1"/>
  <c r="AH342" i="41"/>
  <c r="AH341" i="41"/>
  <c r="AH310" i="41"/>
  <c r="AH309" i="41"/>
  <c r="AH308" i="41"/>
  <c r="AH374" i="41"/>
  <c r="AH376" i="41" s="1"/>
  <c r="AH387" i="41" s="1"/>
  <c r="AL374" i="41"/>
  <c r="AL376" i="41" s="1"/>
  <c r="AL387" i="41" s="1"/>
  <c r="AL342" i="41"/>
  <c r="AL341" i="41"/>
  <c r="AL310" i="41"/>
  <c r="AL309" i="41"/>
  <c r="AL308" i="41"/>
  <c r="O112" i="41"/>
  <c r="O111" i="41"/>
  <c r="O110" i="41"/>
  <c r="O109" i="41"/>
  <c r="O108" i="41"/>
  <c r="O107" i="41"/>
  <c r="O106" i="41"/>
  <c r="O105" i="41"/>
  <c r="J112" i="41"/>
  <c r="J108" i="41"/>
  <c r="J111" i="41"/>
  <c r="J107" i="41"/>
  <c r="J110" i="41"/>
  <c r="J106" i="41"/>
  <c r="J109" i="41"/>
  <c r="P112" i="41"/>
  <c r="P111" i="41"/>
  <c r="P110" i="41"/>
  <c r="P109" i="41"/>
  <c r="P108" i="41"/>
  <c r="P107" i="41"/>
  <c r="P106" i="41"/>
  <c r="P105" i="41"/>
  <c r="V112" i="41"/>
  <c r="V111" i="41"/>
  <c r="V110" i="41"/>
  <c r="V109" i="41"/>
  <c r="V108" i="41"/>
  <c r="V107" i="41"/>
  <c r="V106" i="41"/>
  <c r="V105" i="41"/>
  <c r="AA112" i="41"/>
  <c r="AA111" i="41"/>
  <c r="AA110" i="41"/>
  <c r="AA109" i="41"/>
  <c r="AA108" i="41"/>
  <c r="AA107" i="41"/>
  <c r="AA106" i="41"/>
  <c r="AA105" i="41"/>
  <c r="AG112" i="41"/>
  <c r="AG108" i="41"/>
  <c r="AG111" i="41"/>
  <c r="AG107" i="41"/>
  <c r="AG110" i="41"/>
  <c r="AG106" i="41"/>
  <c r="AG109" i="41"/>
  <c r="AG105" i="41"/>
  <c r="M110" i="41"/>
  <c r="M108" i="41"/>
  <c r="M105" i="41"/>
  <c r="M111" i="41"/>
  <c r="M107" i="41"/>
  <c r="M112" i="41"/>
  <c r="M109" i="41"/>
  <c r="M106" i="41"/>
  <c r="X110" i="41"/>
  <c r="X108" i="41"/>
  <c r="X105" i="41"/>
  <c r="X111" i="41"/>
  <c r="X107" i="41"/>
  <c r="X112" i="41"/>
  <c r="X109" i="41"/>
  <c r="X106" i="41"/>
  <c r="AD111" i="41"/>
  <c r="AD107" i="41"/>
  <c r="AD110" i="41"/>
  <c r="AD106" i="41"/>
  <c r="AD109" i="41"/>
  <c r="AD105" i="41"/>
  <c r="AD112" i="41"/>
  <c r="AD108" i="41"/>
  <c r="S111" i="41"/>
  <c r="S107" i="41"/>
  <c r="S105" i="41"/>
  <c r="S112" i="41"/>
  <c r="S109" i="41"/>
  <c r="S106" i="41"/>
  <c r="S110" i="41"/>
  <c r="S108" i="41"/>
  <c r="AC112" i="41"/>
  <c r="AC108" i="41"/>
  <c r="AC109" i="41"/>
  <c r="AC105" i="41"/>
  <c r="AC111" i="41"/>
  <c r="AC107" i="41"/>
  <c r="AC110" i="41"/>
  <c r="AC106" i="41"/>
  <c r="N112" i="41"/>
  <c r="N111" i="41"/>
  <c r="N110" i="41"/>
  <c r="N109" i="41"/>
  <c r="N108" i="41"/>
  <c r="N107" i="41"/>
  <c r="N106" i="41"/>
  <c r="N105" i="41"/>
  <c r="T112" i="41"/>
  <c r="T111" i="41"/>
  <c r="T110" i="41"/>
  <c r="T109" i="41"/>
  <c r="T108" i="41"/>
  <c r="T107" i="41"/>
  <c r="T106" i="41"/>
  <c r="T105" i="41"/>
  <c r="Y112" i="41"/>
  <c r="Y111" i="41"/>
  <c r="Y110" i="41"/>
  <c r="Y109" i="41"/>
  <c r="Y108" i="41"/>
  <c r="Y107" i="41"/>
  <c r="Y106" i="41"/>
  <c r="Y105" i="41"/>
  <c r="AE110" i="41"/>
  <c r="AE106" i="41"/>
  <c r="AE111" i="41"/>
  <c r="AE107" i="41"/>
  <c r="AE109" i="41"/>
  <c r="AE105" i="41"/>
  <c r="AE112" i="41"/>
  <c r="AE108" i="41"/>
  <c r="U112" i="41"/>
  <c r="U111" i="41"/>
  <c r="U110" i="41"/>
  <c r="U109" i="41"/>
  <c r="U108" i="41"/>
  <c r="U107" i="41"/>
  <c r="U106" i="41"/>
  <c r="U105" i="41"/>
  <c r="Z112" i="41"/>
  <c r="Z111" i="41"/>
  <c r="Z110" i="41"/>
  <c r="Z109" i="41"/>
  <c r="Z108" i="41"/>
  <c r="Z107" i="41"/>
  <c r="Z106" i="41"/>
  <c r="Z105" i="41"/>
  <c r="AF109" i="41"/>
  <c r="AF105" i="41"/>
  <c r="AF112" i="41"/>
  <c r="AF108" i="41"/>
  <c r="AF110" i="41"/>
  <c r="AF106" i="41"/>
  <c r="AF111" i="41"/>
  <c r="AF107" i="41"/>
  <c r="L154" i="41"/>
  <c r="AB154" i="41"/>
  <c r="AJ154" i="41"/>
  <c r="AN154" i="41"/>
  <c r="AH154" i="41"/>
  <c r="AL154" i="41"/>
  <c r="K154" i="41"/>
  <c r="W154" i="41"/>
  <c r="AI154" i="41"/>
  <c r="AM154" i="41"/>
  <c r="R344" i="41" l="1"/>
  <c r="R386" i="41" s="1"/>
  <c r="AN344" i="41"/>
  <c r="AN386" i="41" s="1"/>
  <c r="AB312" i="41"/>
  <c r="AB385" i="41" s="1"/>
  <c r="AM344" i="41"/>
  <c r="AM386" i="41" s="1"/>
  <c r="W344" i="41"/>
  <c r="W386" i="41" s="1"/>
  <c r="AH344" i="41"/>
  <c r="AH386" i="41" s="1"/>
  <c r="AI344" i="41"/>
  <c r="AI386" i="41" s="1"/>
  <c r="K344" i="41"/>
  <c r="K386" i="41" s="1"/>
  <c r="R312" i="41"/>
  <c r="R385" i="41" s="1"/>
  <c r="AK344" i="41"/>
  <c r="AK386" i="41" s="1"/>
  <c r="Q312" i="41"/>
  <c r="Q385" i="41" s="1"/>
  <c r="AN312" i="41"/>
  <c r="AN385" i="41" s="1"/>
  <c r="AJ312" i="41"/>
  <c r="AJ385" i="41" s="1"/>
  <c r="L312" i="41"/>
  <c r="L385" i="41" s="1"/>
  <c r="AM312" i="41"/>
  <c r="AM385" i="41" s="1"/>
  <c r="W312" i="41"/>
  <c r="W385" i="41" s="1"/>
  <c r="AL344" i="41"/>
  <c r="AL386" i="41" s="1"/>
  <c r="AH312" i="41"/>
  <c r="AH385" i="41" s="1"/>
  <c r="AL312" i="41"/>
  <c r="AL385" i="41" s="1"/>
  <c r="AK312" i="41"/>
  <c r="AK385" i="41" s="1"/>
  <c r="AI312" i="41"/>
  <c r="AI385" i="41" s="1"/>
  <c r="K312" i="41"/>
  <c r="K385" i="41" s="1"/>
  <c r="AO312" i="41"/>
  <c r="AO385" i="41" s="1"/>
  <c r="AO344" i="41"/>
  <c r="AO386" i="41" s="1"/>
  <c r="AJ344" i="41"/>
  <c r="AJ386" i="41" s="1"/>
  <c r="AB344" i="41"/>
  <c r="AB386" i="41" s="1"/>
  <c r="L344" i="41"/>
  <c r="L386" i="41" s="1"/>
  <c r="Q344" i="41"/>
  <c r="Q386" i="41" s="1"/>
  <c r="AO167" i="41"/>
  <c r="AO175" i="41" s="1"/>
  <c r="AN167" i="41"/>
  <c r="AN175" i="41" s="1"/>
  <c r="AM167" i="41"/>
  <c r="AM175" i="41" s="1"/>
  <c r="AL167" i="41"/>
  <c r="AL175" i="41" s="1"/>
  <c r="AK167" i="41"/>
  <c r="AK175" i="41" s="1"/>
  <c r="AJ167" i="41"/>
  <c r="AJ175" i="41" s="1"/>
  <c r="AI167" i="41"/>
  <c r="AI175" i="41" s="1"/>
  <c r="AH167" i="41"/>
  <c r="AH175" i="41" s="1"/>
  <c r="R389" i="41" l="1"/>
  <c r="AH389" i="41"/>
  <c r="W389" i="41"/>
  <c r="AJ389" i="41"/>
  <c r="AK389" i="41"/>
  <c r="AN389" i="41"/>
  <c r="L389" i="41"/>
  <c r="AL389" i="41"/>
  <c r="AM389" i="41"/>
  <c r="Q389" i="41"/>
  <c r="AB389" i="41"/>
  <c r="K389" i="41"/>
  <c r="AI389" i="41"/>
  <c r="AO389" i="41"/>
  <c r="J95" i="41"/>
  <c r="J105"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7" i="41" l="1"/>
  <c r="Q175" i="41" s="1"/>
  <c r="R167" i="41"/>
  <c r="R175" i="41" s="1"/>
  <c r="W167" i="41"/>
  <c r="W175" i="41" s="1"/>
  <c r="L167" i="41"/>
  <c r="L175" i="41" s="1"/>
  <c r="AB167" i="41"/>
  <c r="AB175" i="41" s="1"/>
  <c r="AO150" i="41"/>
  <c r="AN150" i="41"/>
  <c r="AM150" i="41"/>
  <c r="AL150" i="41"/>
  <c r="AK150" i="41"/>
  <c r="AJ150" i="41"/>
  <c r="AI150" i="41"/>
  <c r="AH150" i="41"/>
  <c r="AB150" i="41"/>
  <c r="W150" i="41"/>
  <c r="R150" i="41"/>
  <c r="Q150" i="41"/>
  <c r="L150" i="41"/>
  <c r="K150" i="41"/>
  <c r="J21" i="23" l="1" a="1"/>
  <c r="J21" i="23" s="1"/>
  <c r="J46" i="31" a="1"/>
  <c r="J46" i="31" s="1"/>
  <c r="J84" i="31" a="1"/>
  <c r="J84" i="31" s="1"/>
  <c r="AO208" i="41"/>
  <c r="AN208" i="41"/>
  <c r="AM208" i="41"/>
  <c r="AL208" i="41"/>
  <c r="AK208" i="41"/>
  <c r="AJ208" i="41"/>
  <c r="AI208" i="41"/>
  <c r="AH208" i="41"/>
  <c r="AB208" i="41"/>
  <c r="W208" i="41"/>
  <c r="R208" i="41"/>
  <c r="Q208" i="41"/>
  <c r="L208"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9" i="41"/>
  <c r="AB199" i="41"/>
  <c r="AK199" i="41"/>
  <c r="AO199" i="41"/>
  <c r="Q199" i="41"/>
  <c r="AH199" i="41"/>
  <c r="AL199" i="41"/>
  <c r="R199" i="41"/>
  <c r="AI199" i="41"/>
  <c r="AM199" i="41"/>
  <c r="K199" i="41"/>
  <c r="W199" i="41"/>
  <c r="AJ199" i="41"/>
  <c r="AN199"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L47" i="105" l="1"/>
  <c r="AC36" i="105"/>
  <c r="AC141" i="105" s="1"/>
  <c r="AE36" i="105"/>
  <c r="AE141" i="105" s="1"/>
  <c r="Y36" i="105"/>
  <c r="Y141" i="105" s="1"/>
  <c r="AA36" i="105"/>
  <c r="AA141" i="105" s="1"/>
  <c r="L36" i="105"/>
  <c r="R47" i="105"/>
  <c r="AD36" i="105"/>
  <c r="AD141" i="105" s="1"/>
  <c r="AF36" i="105"/>
  <c r="AF141" i="105" s="1"/>
  <c r="W47" i="105"/>
  <c r="R36" i="105"/>
  <c r="AB47" i="105"/>
  <c r="W36" i="105"/>
  <c r="W141" i="105" s="1"/>
  <c r="Z36" i="105"/>
  <c r="Z141" i="105" s="1"/>
  <c r="AB36" i="105"/>
  <c r="AF147" i="105"/>
  <c r="AD147" i="105"/>
  <c r="AE147" i="105"/>
  <c r="AA147" i="105"/>
  <c r="Z147" i="105"/>
  <c r="Y147" i="105"/>
  <c r="W147" i="105"/>
  <c r="S170" i="105"/>
  <c r="N170" i="105"/>
  <c r="O170" i="105"/>
  <c r="P170" i="105"/>
  <c r="AC170" i="105"/>
  <c r="T170" i="105"/>
  <c r="U170" i="105"/>
  <c r="V170" i="105"/>
  <c r="R170" i="105"/>
  <c r="Y170" i="105"/>
  <c r="Z170" i="105"/>
  <c r="AA170" i="105"/>
  <c r="W187" i="105"/>
  <c r="W185" i="105"/>
  <c r="W183" i="105"/>
  <c r="W188" i="105"/>
  <c r="W186" i="105"/>
  <c r="W184" i="105"/>
  <c r="W182" i="105"/>
  <c r="W170" i="105"/>
  <c r="AD170" i="105"/>
  <c r="AE170" i="105"/>
  <c r="AF170" i="105"/>
  <c r="L170" i="105"/>
  <c r="AB188" i="105"/>
  <c r="AB186" i="105"/>
  <c r="AB184" i="105"/>
  <c r="AB182"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43" i="82" s="1"/>
  <c r="AH44" i="41"/>
  <c r="AH24" i="65" s="1"/>
  <c r="AH114" i="65" s="1"/>
  <c r="AH42" i="82" s="1"/>
  <c r="AL45" i="41"/>
  <c r="AL25" i="65" s="1"/>
  <c r="AL115" i="65" s="1"/>
  <c r="AK43" i="82" s="1"/>
  <c r="AL44" i="41"/>
  <c r="AL24" i="65" s="1"/>
  <c r="AL114" i="65" s="1"/>
  <c r="AK42" i="82" s="1"/>
  <c r="AI45" i="41"/>
  <c r="AI25" i="65" s="1"/>
  <c r="AI115" i="65" s="1"/>
  <c r="AI43" i="82" s="1"/>
  <c r="AI44" i="41"/>
  <c r="AI24" i="65" s="1"/>
  <c r="AI114" i="65" s="1"/>
  <c r="AI42" i="82" s="1"/>
  <c r="AM45" i="41"/>
  <c r="AM25" i="65" s="1"/>
  <c r="AM115" i="65" s="1"/>
  <c r="AM44" i="41"/>
  <c r="AM24" i="65" s="1"/>
  <c r="AM114" i="65" s="1"/>
  <c r="AJ45" i="41"/>
  <c r="AJ25" i="65" s="1"/>
  <c r="AJ115" i="65" s="1"/>
  <c r="AJ43" i="82" s="1"/>
  <c r="AJ44" i="41"/>
  <c r="AJ24" i="65" s="1"/>
  <c r="AJ114" i="65" s="1"/>
  <c r="AJ42" i="82" s="1"/>
  <c r="AN45" i="41"/>
  <c r="AN25" i="65" s="1"/>
  <c r="AN115" i="65" s="1"/>
  <c r="AL43" i="82" s="1"/>
  <c r="AN44" i="41"/>
  <c r="AN24" i="65" s="1"/>
  <c r="AN114" i="65" s="1"/>
  <c r="AL42"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AH36" i="105"/>
  <c r="Y172" i="105"/>
  <c r="Y70" i="82" s="1"/>
  <c r="N172" i="105"/>
  <c r="N70" i="82" s="1"/>
  <c r="Q36" i="105"/>
  <c r="AO36" i="105"/>
  <c r="AO141" i="105" s="1"/>
  <c r="AO174" i="105"/>
  <c r="AL47" i="105"/>
  <c r="AL142" i="105" s="1"/>
  <c r="AO47" i="105"/>
  <c r="AO142" i="105" s="1"/>
  <c r="R172" i="105"/>
  <c r="R70" i="82" s="1"/>
  <c r="S172" i="105"/>
  <c r="S70" i="82" s="1"/>
  <c r="AN47" i="105"/>
  <c r="X26" i="105"/>
  <c r="X170" i="105" s="1"/>
  <c r="AK36" i="105"/>
  <c r="AK141" i="105" s="1"/>
  <c r="AK174" i="105"/>
  <c r="AH47" i="105"/>
  <c r="AN36" i="105"/>
  <c r="AN141" i="105" s="1"/>
  <c r="AK47" i="105"/>
  <c r="AK142" i="105" s="1"/>
  <c r="AB172" i="105"/>
  <c r="AB70" i="82" s="1"/>
  <c r="L172" i="105"/>
  <c r="L70" i="82" s="1"/>
  <c r="AF172" i="105"/>
  <c r="AF70" i="82" s="1"/>
  <c r="U172" i="105"/>
  <c r="U70" i="82" s="1"/>
  <c r="AE172" i="105"/>
  <c r="AE70" i="82" s="1"/>
  <c r="T172" i="105"/>
  <c r="T70" i="82" s="1"/>
  <c r="AJ47" i="105"/>
  <c r="AL36" i="105"/>
  <c r="AL141" i="105" s="1"/>
  <c r="X36" i="105"/>
  <c r="X141" i="105" s="1"/>
  <c r="AM47" i="105"/>
  <c r="AM142" i="105" s="1"/>
  <c r="Q47" i="105"/>
  <c r="Q142" i="105" s="1"/>
  <c r="AM36" i="105"/>
  <c r="AM141" i="105" s="1"/>
  <c r="AM174" i="105"/>
  <c r="AD172" i="105"/>
  <c r="AD70" i="82" s="1"/>
  <c r="AC172" i="105"/>
  <c r="AC70" i="82" s="1"/>
  <c r="W172" i="105"/>
  <c r="W70" i="82" s="1"/>
  <c r="AA172" i="105"/>
  <c r="AA70" i="82" s="1"/>
  <c r="P172" i="105"/>
  <c r="P70" i="82" s="1"/>
  <c r="V172" i="105"/>
  <c r="V70" i="82" s="1"/>
  <c r="AI47" i="105"/>
  <c r="K36" i="105"/>
  <c r="K141" i="105" s="1"/>
  <c r="AI36" i="105"/>
  <c r="AI141" i="105" s="1"/>
  <c r="Z172" i="105"/>
  <c r="Z70" i="82" s="1"/>
  <c r="O172" i="105"/>
  <c r="O70" i="82" s="1"/>
  <c r="AC147" i="105"/>
  <c r="K170" i="105"/>
  <c r="Q170" i="105"/>
  <c r="K147" i="105"/>
  <c r="AG170" i="105"/>
  <c r="M170" i="105"/>
  <c r="AL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W189" i="105"/>
  <c r="AN170" i="105"/>
  <c r="AJ170" i="105"/>
  <c r="AK148" i="105"/>
  <c r="AL147" i="105"/>
  <c r="AH170" i="105"/>
  <c r="AK147" i="105"/>
  <c r="AN147" i="105"/>
  <c r="AI147" i="105"/>
  <c r="AI170" i="105"/>
  <c r="AK146"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AB189"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X172" i="105" l="1"/>
  <c r="X70" i="82" s="1"/>
  <c r="M172" i="105"/>
  <c r="M70" i="82" s="1"/>
  <c r="AN172" i="105"/>
  <c r="AL70" i="82" s="1"/>
  <c r="AK207" i="105"/>
  <c r="AK206" i="105"/>
  <c r="AG172" i="105"/>
  <c r="AG70" i="82" s="1"/>
  <c r="AL172" i="105"/>
  <c r="AK70" i="82" s="1"/>
  <c r="Q172" i="105"/>
  <c r="Q70" i="82" s="1"/>
  <c r="AJ172" i="105"/>
  <c r="AJ70" i="82" s="1"/>
  <c r="K172" i="105"/>
  <c r="K70" i="82" s="1"/>
  <c r="AI172" i="105"/>
  <c r="AI70" i="82" s="1"/>
  <c r="AH172" i="105"/>
  <c r="AH70" i="82" s="1"/>
  <c r="AO200" i="105"/>
  <c r="AK189" i="105"/>
  <c r="AK200" i="105"/>
  <c r="AO189" i="105"/>
  <c r="AM189" i="105"/>
  <c r="AM200" i="105"/>
  <c r="H687" i="22"/>
  <c r="J689" i="22" s="1"/>
  <c r="K53" i="86"/>
  <c r="N53" i="86"/>
  <c r="O53" i="86"/>
  <c r="Q53" i="86"/>
  <c r="R53" i="86"/>
  <c r="P54" i="86"/>
  <c r="M54" i="86"/>
  <c r="S53" i="86"/>
  <c r="L54" i="86"/>
  <c r="K689" i="22" l="1"/>
  <c r="M171" i="41" s="1"/>
  <c r="M689" i="22"/>
  <c r="O171" i="41" s="1"/>
  <c r="N689" i="22"/>
  <c r="P171" i="41" s="1"/>
  <c r="L689" i="22"/>
  <c r="N171" i="41" s="1"/>
  <c r="N38" i="53"/>
  <c r="O38" i="53"/>
  <c r="P38" i="53"/>
  <c r="Y23" i="112" l="1"/>
  <c r="X23" i="112"/>
  <c r="W23" i="112"/>
  <c r="V23" i="112"/>
  <c r="U23" i="112"/>
  <c r="T23" i="112"/>
  <c r="S23" i="112"/>
  <c r="R23" i="112"/>
  <c r="Q23" i="112"/>
  <c r="P23" i="112"/>
  <c r="O23" i="112"/>
  <c r="N23" i="112"/>
  <c r="M23" i="112"/>
  <c r="L23" i="112"/>
  <c r="K23" i="112"/>
  <c r="J23" i="112"/>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S39" i="112" s="1"/>
  <c r="R20" i="112"/>
  <c r="Q20" i="112"/>
  <c r="P20" i="112"/>
  <c r="O20" i="112"/>
  <c r="N20" i="112"/>
  <c r="M20" i="112"/>
  <c r="L20" i="112"/>
  <c r="K20" i="112"/>
  <c r="A2" i="112"/>
  <c r="A1" i="112"/>
  <c r="C16" i="112" s="1"/>
  <c r="G195" i="85" s="1"/>
  <c r="K39" i="112" l="1"/>
  <c r="R39" i="112"/>
  <c r="Q39" i="112"/>
  <c r="T39" i="112"/>
  <c r="V39" i="112"/>
  <c r="L39" i="112"/>
  <c r="M39" i="112"/>
  <c r="U39" i="112"/>
  <c r="W39" i="112"/>
  <c r="P39" i="112"/>
  <c r="X39" i="112"/>
  <c r="Y39" i="112"/>
  <c r="O39" i="112"/>
  <c r="J39" i="112"/>
  <c r="J38" i="112"/>
  <c r="J40" i="112"/>
  <c r="V50" i="112"/>
  <c r="V40" i="112"/>
  <c r="M48" i="112"/>
  <c r="M38" i="112"/>
  <c r="U50" i="112"/>
  <c r="U40" i="112"/>
  <c r="M40" i="112"/>
  <c r="M50" i="112"/>
  <c r="T48" i="112"/>
  <c r="T38" i="112"/>
  <c r="L38" i="112"/>
  <c r="L48" i="112"/>
  <c r="T40" i="112"/>
  <c r="T50" i="112"/>
  <c r="L40" i="112"/>
  <c r="S48" i="112"/>
  <c r="S51" i="112" s="1"/>
  <c r="S38" i="112"/>
  <c r="K48" i="112"/>
  <c r="K38" i="112"/>
  <c r="S40" i="112"/>
  <c r="S50" i="112"/>
  <c r="K50" i="112"/>
  <c r="K40" i="112"/>
  <c r="R38" i="112"/>
  <c r="R48" i="112"/>
  <c r="R40" i="112"/>
  <c r="R50" i="112"/>
  <c r="Y38" i="112"/>
  <c r="Y48" i="112"/>
  <c r="Q38" i="112"/>
  <c r="Q48" i="112"/>
  <c r="Y40" i="112"/>
  <c r="Y50" i="112"/>
  <c r="P48" i="112"/>
  <c r="P38" i="112"/>
  <c r="X50" i="112"/>
  <c r="X40" i="112"/>
  <c r="P40" i="112"/>
  <c r="W48" i="112"/>
  <c r="W38" i="112"/>
  <c r="O48" i="112"/>
  <c r="O38" i="112"/>
  <c r="U38" i="112"/>
  <c r="U48" i="112"/>
  <c r="Q40" i="112"/>
  <c r="Q50" i="112"/>
  <c r="X48" i="112"/>
  <c r="X51" i="112" s="1"/>
  <c r="X38" i="112"/>
  <c r="W50" i="112"/>
  <c r="W40" i="112"/>
  <c r="O40" i="112"/>
  <c r="V48" i="112"/>
  <c r="V38" i="112"/>
  <c r="N48" i="112"/>
  <c r="C35" i="112"/>
  <c r="G196" i="85" s="1"/>
  <c r="C53" i="112"/>
  <c r="G197" i="85" s="1"/>
  <c r="T51" i="112" l="1"/>
  <c r="Q51" i="112"/>
  <c r="U51" i="112"/>
  <c r="M51" i="112"/>
  <c r="K51" i="112"/>
  <c r="R51" i="112"/>
  <c r="Y51" i="112"/>
  <c r="W51" i="112"/>
  <c r="V51" i="112"/>
  <c r="H23" i="81"/>
  <c r="X29" i="41" l="1"/>
  <c r="AN48" i="41" s="1"/>
  <c r="AN47" i="65" s="1"/>
  <c r="AL49" i="82" s="1"/>
  <c r="R29" i="41"/>
  <c r="AH48" i="41" s="1"/>
  <c r="AH47" i="65" s="1"/>
  <c r="AH49" i="82" s="1"/>
  <c r="W29" i="41"/>
  <c r="AM48" i="41" s="1"/>
  <c r="AM47" i="65" s="1"/>
  <c r="M29" i="41"/>
  <c r="Q48" i="41" s="1"/>
  <c r="Q47" i="65" s="1"/>
  <c r="Q49" i="82" s="1"/>
  <c r="Q29" i="41"/>
  <c r="AG48" i="41" s="1"/>
  <c r="AG47" i="65" s="1"/>
  <c r="AG49" i="82" s="1"/>
  <c r="U29" i="41"/>
  <c r="AK48" i="41" s="1"/>
  <c r="AK47" i="65" s="1"/>
  <c r="T29" i="41"/>
  <c r="AJ48" i="41" s="1"/>
  <c r="AJ47" i="65" s="1"/>
  <c r="AJ49" i="82" s="1"/>
  <c r="S29" i="41"/>
  <c r="AI48" i="41" s="1"/>
  <c r="AI47" i="65" s="1"/>
  <c r="AI49" i="82" s="1"/>
  <c r="Y29" i="41"/>
  <c r="AO48" i="41" s="1"/>
  <c r="AO47" i="65" s="1"/>
  <c r="K29" i="41"/>
  <c r="K48" i="41" s="1"/>
  <c r="K47" i="65" s="1"/>
  <c r="K49" i="82" s="1"/>
  <c r="V29" i="41"/>
  <c r="AL48" i="41" s="1"/>
  <c r="AL47" i="65" s="1"/>
  <c r="AK49" i="82" s="1"/>
  <c r="T55" i="112"/>
  <c r="S55" i="112"/>
  <c r="M55" i="112"/>
  <c r="X55" i="112"/>
  <c r="R55" i="112"/>
  <c r="W55" i="112"/>
  <c r="Q55" i="112"/>
  <c r="U55" i="112"/>
  <c r="Y55" i="112"/>
  <c r="K55" i="112"/>
  <c r="V55" i="112"/>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O63" i="53"/>
  <c r="N63" i="53"/>
  <c r="M63" i="53"/>
  <c r="L63" i="53"/>
  <c r="K63" i="53"/>
  <c r="J63" i="53"/>
  <c r="Y62" i="53"/>
  <c r="Y83" i="53" s="1"/>
  <c r="X62" i="53"/>
  <c r="X83" i="53" s="1"/>
  <c r="W62" i="53"/>
  <c r="W83" i="53" s="1"/>
  <c r="V62" i="53"/>
  <c r="V83" i="53" s="1"/>
  <c r="U62" i="53"/>
  <c r="U83" i="53" s="1"/>
  <c r="T62" i="53"/>
  <c r="T83" i="53" s="1"/>
  <c r="S62" i="53"/>
  <c r="S83" i="53" s="1"/>
  <c r="R62" i="53"/>
  <c r="R83" i="53" s="1"/>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W249" i="22" l="1"/>
  <c r="W57" i="80" s="1"/>
  <c r="X286" i="22"/>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32" i="53"/>
  <c r="X188" i="80"/>
  <c r="AN58" i="41" l="1"/>
  <c r="AN81" i="41" s="1"/>
  <c r="AK165"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5" i="41"/>
  <c r="U517" i="22"/>
  <c r="AK59" i="41" s="1"/>
  <c r="V517" i="22"/>
  <c r="AL59" i="41" s="1"/>
  <c r="W517" i="22"/>
  <c r="AM59" i="41" s="1"/>
  <c r="AL165" i="41"/>
  <c r="AH165" i="41"/>
  <c r="AO165" i="41"/>
  <c r="X517" i="22"/>
  <c r="AN59" i="41" s="1"/>
  <c r="S517" i="22"/>
  <c r="AI59" i="41" s="1"/>
  <c r="AJ165"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1" i="41" s="1"/>
  <c r="AO58" i="41"/>
  <c r="AO81" i="41" s="1"/>
  <c r="AH58" i="41"/>
  <c r="AH81" i="41" s="1"/>
  <c r="AI58" i="41"/>
  <c r="AI81" i="41" s="1"/>
  <c r="AK58" i="41"/>
  <c r="AK81" i="41" s="1"/>
  <c r="AJ58" i="41"/>
  <c r="AJ81" i="41" s="1"/>
  <c r="AM58" i="41"/>
  <c r="AM81" i="41" s="1"/>
  <c r="AI165" i="41"/>
  <c r="AN165" i="41"/>
  <c r="AO80" i="41"/>
  <c r="AJ80" i="41"/>
  <c r="AI80" i="41"/>
  <c r="AH80" i="41"/>
  <c r="AM80" i="41"/>
  <c r="AL80" i="41"/>
  <c r="AK80" i="41"/>
  <c r="AN80"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27" i="76"/>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59" i="112" l="1"/>
  <c r="X65" i="112" s="1"/>
  <c r="X225" i="53"/>
  <c r="T224" i="53"/>
  <c r="Y78" i="83"/>
  <c r="V225" i="53"/>
  <c r="U225" i="53"/>
  <c r="W78" i="83"/>
  <c r="T226" i="53"/>
  <c r="Q226" i="53"/>
  <c r="W225" i="53"/>
  <c r="Y59" i="112" l="1"/>
  <c r="Y65" i="112" s="1"/>
  <c r="C13" i="106"/>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4" i="89"/>
  <c r="H49" i="86"/>
  <c r="H80" i="89"/>
  <c r="H44" i="89"/>
  <c r="H45" i="89" s="1"/>
  <c r="H73" i="89" s="1"/>
  <c r="H81" i="89" s="1"/>
  <c r="H87" i="89"/>
  <c r="S70" i="31"/>
  <c r="S72" i="31"/>
  <c r="K66" i="31"/>
  <c r="R80" i="31"/>
  <c r="K70" i="31"/>
  <c r="S66" i="31"/>
  <c r="Q70" i="31"/>
  <c r="S73" i="31"/>
  <c r="Q76" i="31"/>
  <c r="Q80" i="31"/>
  <c r="A2" i="90"/>
  <c r="A1" i="90"/>
  <c r="C162"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L54" i="81"/>
  <c r="S44" i="23"/>
  <c r="M44" i="23"/>
  <c r="O44" i="23"/>
  <c r="R44" i="23"/>
  <c r="L44" i="23"/>
  <c r="H104" i="53"/>
  <c r="H136" i="53"/>
  <c r="H105" i="53"/>
  <c r="H153" i="53"/>
  <c r="H121" i="53"/>
  <c r="H145" i="53"/>
  <c r="H137" i="53"/>
  <c r="H161" i="53"/>
  <c r="H88" i="81"/>
  <c r="H87" i="81"/>
  <c r="H86" i="81"/>
  <c r="H84" i="81"/>
  <c r="J98" i="81"/>
  <c r="H188" i="90" a="1"/>
  <c r="H188" i="90" s="1"/>
  <c r="H24" i="81"/>
  <c r="H25" i="81" s="1"/>
  <c r="H121" i="81" s="1"/>
  <c r="H19" i="76" s="1"/>
  <c r="H25" i="22"/>
  <c r="H24" i="22"/>
  <c r="H23" i="22"/>
  <c r="H22" i="22"/>
  <c r="A2" i="89"/>
  <c r="A1" i="89"/>
  <c r="C90"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25" i="82" s="1"/>
  <c r="G234"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K29" i="31"/>
  <c r="J29" i="31"/>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C73" i="82" l="1"/>
  <c r="G238" i="85" s="1"/>
  <c r="C51" i="82"/>
  <c r="G236" i="85" s="1"/>
  <c r="C63" i="82"/>
  <c r="G237" i="85" s="1"/>
  <c r="C33" i="82"/>
  <c r="G235" i="85" s="1"/>
  <c r="C147" i="65"/>
  <c r="G220" i="85" s="1"/>
  <c r="C40" i="65"/>
  <c r="G215" i="85" s="1"/>
  <c r="C378" i="41"/>
  <c r="G211" i="85" s="1"/>
  <c r="C233" i="41"/>
  <c r="G207" i="85" s="1"/>
  <c r="C346" i="41"/>
  <c r="G210" i="85" s="1"/>
  <c r="C214" i="41"/>
  <c r="G206" i="85" s="1"/>
  <c r="C314" i="41"/>
  <c r="G209" i="85" s="1"/>
  <c r="C287" i="41"/>
  <c r="G208" i="85" s="1"/>
  <c r="C410" i="41"/>
  <c r="G212" i="85" s="1"/>
  <c r="C152" i="41"/>
  <c r="G201" i="85" s="1"/>
  <c r="C193" i="41"/>
  <c r="G204" i="85" s="1"/>
  <c r="C201" i="41"/>
  <c r="G205" i="85" s="1"/>
  <c r="C160" i="41"/>
  <c r="G202" i="85" s="1"/>
  <c r="C177" i="41"/>
  <c r="G203" i="85" s="1"/>
  <c r="C523" i="22"/>
  <c r="G123" i="85" s="1"/>
  <c r="C657" i="22"/>
  <c r="G124" i="85" s="1"/>
  <c r="C448" i="22"/>
  <c r="G121" i="85" s="1"/>
  <c r="C477" i="22"/>
  <c r="G122" i="85" s="1"/>
  <c r="C89"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70" i="41"/>
  <c r="G199" i="85" s="1"/>
  <c r="C163" i="105"/>
  <c r="G229" i="85" s="1"/>
  <c r="C152" i="105"/>
  <c r="G228" i="85" s="1"/>
  <c r="C52" i="105"/>
  <c r="G222" i="85" s="1"/>
  <c r="H172" i="53"/>
  <c r="H156" i="53"/>
  <c r="H116" i="53"/>
  <c r="H108" i="53"/>
  <c r="Q179" i="53" s="1"/>
  <c r="Q251" i="53" s="1"/>
  <c r="H148" i="53"/>
  <c r="Q204" i="53" s="1"/>
  <c r="Q256" i="53" s="1"/>
  <c r="K59" i="82"/>
  <c r="M59" i="82"/>
  <c r="H45" i="80"/>
  <c r="H51" i="80"/>
  <c r="P77" i="31"/>
  <c r="P65" i="31"/>
  <c r="O45" i="70"/>
  <c r="N45" i="70"/>
  <c r="M45" i="70"/>
  <c r="L45" i="70"/>
  <c r="K45" i="70"/>
  <c r="J45" i="70"/>
  <c r="Q45" i="70"/>
  <c r="P45" i="70"/>
  <c r="C107" i="65"/>
  <c r="G218" i="85" s="1"/>
  <c r="C118" i="65"/>
  <c r="G219" i="85" s="1"/>
  <c r="A3" i="112"/>
  <c r="R59" i="112"/>
  <c r="R65" i="112" s="1"/>
  <c r="O47" i="81"/>
  <c r="C52" i="65"/>
  <c r="G216" i="85" s="1"/>
  <c r="C92" i="65"/>
  <c r="G217" i="85" s="1"/>
  <c r="C151"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H35" i="72" s="1" a="1"/>
  <c r="N38" i="31"/>
  <c r="H46" i="80"/>
  <c r="L31" i="81"/>
  <c r="H139" i="53"/>
  <c r="Q198" i="53" s="1"/>
  <c r="Q244" i="53" s="1"/>
  <c r="R31" i="81"/>
  <c r="H52" i="80"/>
  <c r="S131" i="31"/>
  <c r="O31" i="81"/>
  <c r="H49" i="80"/>
  <c r="N59"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Q184" i="53"/>
  <c r="Q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Q209" i="53"/>
  <c r="Q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1" i="90"/>
  <c r="H193" i="90"/>
  <c r="H53" i="86"/>
  <c r="H194" i="90"/>
  <c r="H195" i="90"/>
  <c r="A3" i="80"/>
  <c r="S134" i="31"/>
  <c r="H53" i="80"/>
  <c r="S31" i="81"/>
  <c r="S133" i="31"/>
  <c r="H48" i="80"/>
  <c r="H47" i="80"/>
  <c r="L59" i="82"/>
  <c r="H113" i="89"/>
  <c r="H112" i="89"/>
  <c r="Q31" i="81"/>
  <c r="H88" i="89"/>
  <c r="H61" i="41" s="1"/>
  <c r="H68" i="41" s="1"/>
  <c r="J59" i="82"/>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6" i="89"/>
  <c r="G104" i="85" s="1"/>
  <c r="C31" i="86"/>
  <c r="G98" i="85" s="1"/>
  <c r="C38" i="23"/>
  <c r="G113" i="85" s="1"/>
  <c r="C37" i="76"/>
  <c r="G166" i="85" s="1"/>
  <c r="C138" i="105"/>
  <c r="G226" i="85" s="1"/>
  <c r="C15" i="41"/>
  <c r="G198" i="85" s="1"/>
  <c r="C17" i="76"/>
  <c r="G164" i="85" s="1"/>
  <c r="C13" i="89"/>
  <c r="G100" i="85" s="1"/>
  <c r="C35" i="89"/>
  <c r="G102" i="85" s="1"/>
  <c r="C100"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146" i="83"/>
  <c r="G161" i="85" s="1"/>
  <c r="G233" i="85" l="1"/>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9"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09" i="89" a="1"/>
  <c r="H109" i="89" s="1"/>
  <c r="H115" i="89" s="1"/>
  <c r="Q59" i="112"/>
  <c r="Q65" i="112" s="1"/>
  <c r="M59" i="112"/>
  <c r="M65" i="112" s="1"/>
  <c r="V59" i="112"/>
  <c r="V65" i="112" s="1"/>
  <c r="T59" i="112"/>
  <c r="T65" i="112" s="1"/>
  <c r="S59" i="112"/>
  <c r="S65" i="112" s="1"/>
  <c r="K59" i="112"/>
  <c r="K65" i="112" s="1"/>
  <c r="W59" i="112"/>
  <c r="W65" i="112" s="1"/>
  <c r="U59" i="112"/>
  <c r="U65" i="112" s="1"/>
  <c r="H197"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H83" i="105"/>
  <c r="H126" i="105" s="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AB147" i="105" l="1"/>
  <c r="AB141" i="105"/>
  <c r="X189" i="105"/>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416" i="22" s="1"/>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86" i="22" s="1"/>
  <c r="P506" i="22" s="1"/>
  <c r="AC57" i="41" s="1"/>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358" i="22" s="1"/>
  <c r="N427" i="22"/>
  <c r="N445" i="22" s="1"/>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412" i="22" s="1"/>
  <c r="L489" i="22" s="1"/>
  <c r="N54" i="41" s="1"/>
  <c r="L347" i="22"/>
  <c r="L463" i="22"/>
  <c r="L434" i="22"/>
  <c r="L376" i="22"/>
  <c r="L405" i="22"/>
  <c r="P345" i="22"/>
  <c r="P461" i="22"/>
  <c r="P374" i="22"/>
  <c r="P432" i="22"/>
  <c r="P403" i="22"/>
  <c r="P350" i="22"/>
  <c r="P466" i="22"/>
  <c r="P437" i="22"/>
  <c r="P379" i="22"/>
  <c r="P408" i="22"/>
  <c r="K336" i="22"/>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40"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38" i="55"/>
  <c r="H70" i="23" a="1"/>
  <c r="H70" i="23" s="1"/>
  <c r="A4" i="23" s="1"/>
  <c r="A4" i="89"/>
  <c r="J41" i="55"/>
  <c r="A4" i="70"/>
  <c r="J42" i="55"/>
  <c r="P445" i="22" l="1"/>
  <c r="P514" i="22" s="1"/>
  <c r="AE58" i="41" s="1"/>
  <c r="K354" i="22"/>
  <c r="K487" i="22" s="1"/>
  <c r="K54" i="41" s="1"/>
  <c r="L413" i="22"/>
  <c r="L495" i="22" s="1"/>
  <c r="N55" i="41" s="1"/>
  <c r="P444" i="22"/>
  <c r="P508" i="22" s="1"/>
  <c r="AE57" i="41" s="1"/>
  <c r="O415" i="22"/>
  <c r="O507" i="22" s="1"/>
  <c r="Y57" i="41" s="1"/>
  <c r="P384" i="22"/>
  <c r="P494" i="22" s="1"/>
  <c r="AC55" i="41" s="1"/>
  <c r="N415" i="22"/>
  <c r="N507" i="22" s="1"/>
  <c r="T57" i="41" s="1"/>
  <c r="M358" i="22"/>
  <c r="M511" i="22" s="1"/>
  <c r="Q58" i="41" s="1"/>
  <c r="N444" i="22"/>
  <c r="N508" i="22" s="1"/>
  <c r="U57" i="41" s="1"/>
  <c r="N357" i="22"/>
  <c r="M354" i="22"/>
  <c r="M487" i="22" s="1"/>
  <c r="Q54" i="41" s="1"/>
  <c r="L473" i="22"/>
  <c r="L509" i="22" s="1"/>
  <c r="P57" i="41" s="1"/>
  <c r="N414" i="22"/>
  <c r="N501" i="22" s="1"/>
  <c r="T56" i="41" s="1"/>
  <c r="T154"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N505" i="22"/>
  <c r="R57" i="41" s="1"/>
  <c r="K359" i="22"/>
  <c r="N514" i="22"/>
  <c r="U58" i="41" s="1"/>
  <c r="N511" i="22"/>
  <c r="R58" i="41" s="1"/>
  <c r="P513" i="22"/>
  <c r="AD58" i="41" s="1"/>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4"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4" i="41" s="1"/>
  <c r="O384" i="22"/>
  <c r="O494" i="22" s="1"/>
  <c r="X55" i="41" s="1"/>
  <c r="Q388" i="22"/>
  <c r="O471" i="22"/>
  <c r="O497" i="22" s="1"/>
  <c r="AA55" i="41" s="1"/>
  <c r="L385" i="22"/>
  <c r="L500" i="22" s="1"/>
  <c r="M56" i="41" s="1"/>
  <c r="M154"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4"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4" i="41" s="1"/>
  <c r="O411" i="22"/>
  <c r="O483" i="22" s="1"/>
  <c r="Y53" i="41" s="1"/>
  <c r="L415" i="22"/>
  <c r="L507" i="22" s="1"/>
  <c r="N57" i="41" s="1"/>
  <c r="N440" i="22"/>
  <c r="N412" i="22"/>
  <c r="N489" i="22" s="1"/>
  <c r="T54" i="41" s="1"/>
  <c r="Q387" i="22"/>
  <c r="O441" i="22"/>
  <c r="O490" i="22" s="1"/>
  <c r="Z54" i="41" s="1"/>
  <c r="O385" i="22"/>
  <c r="O500" i="22" s="1"/>
  <c r="X56" i="41" s="1"/>
  <c r="X154" i="41" s="1"/>
  <c r="O356" i="22"/>
  <c r="O473" i="22"/>
  <c r="P446" i="22"/>
  <c r="Q385" i="22"/>
  <c r="Q500" i="22" s="1"/>
  <c r="AG56" i="41" s="1"/>
  <c r="AG154" i="41" s="1"/>
  <c r="P441" i="22"/>
  <c r="P490" i="22" s="1"/>
  <c r="AE54" i="41" s="1"/>
  <c r="L356" i="22"/>
  <c r="L411" i="22"/>
  <c r="P443" i="22"/>
  <c r="P502" i="22" s="1"/>
  <c r="AE56" i="41" s="1"/>
  <c r="AE154" i="41" s="1"/>
  <c r="N472" i="22"/>
  <c r="N356" i="22"/>
  <c r="O442" i="22"/>
  <c r="O496" i="22" s="1"/>
  <c r="Z55" i="41" s="1"/>
  <c r="O416" i="22"/>
  <c r="P355" i="22"/>
  <c r="P493" i="22" s="1"/>
  <c r="AB55" i="41" s="1"/>
  <c r="N355" i="22"/>
  <c r="N493" i="22" s="1"/>
  <c r="R55" i="41" s="1"/>
  <c r="L443" i="22"/>
  <c r="L502" i="22" s="1"/>
  <c r="O56" i="41" s="1"/>
  <c r="O154"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4" i="41" s="1"/>
  <c r="O386" i="22"/>
  <c r="O506" i="22" s="1"/>
  <c r="X57" i="41" s="1"/>
  <c r="O357" i="22"/>
  <c r="P417" i="22"/>
  <c r="L387" i="22"/>
  <c r="L358" i="22"/>
  <c r="J384" i="22"/>
  <c r="J494" i="22" s="1"/>
  <c r="J55" i="41" s="1"/>
  <c r="P470" i="22"/>
  <c r="P491" i="22" s="1"/>
  <c r="AF54" i="41" s="1"/>
  <c r="N385" i="22"/>
  <c r="N500" i="22" s="1"/>
  <c r="S56" i="41" s="1"/>
  <c r="S154"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4"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4" i="55"/>
  <c r="K57" i="80" l="1"/>
  <c r="L503" i="22"/>
  <c r="P56" i="41" s="1"/>
  <c r="P154" i="41" s="1"/>
  <c r="M499" i="22"/>
  <c r="Q56" i="41" s="1"/>
  <c r="O505" i="22"/>
  <c r="W57" i="41" s="1"/>
  <c r="AE116" i="41"/>
  <c r="AE128" i="41" s="1"/>
  <c r="K499" i="22"/>
  <c r="K56" i="41" s="1"/>
  <c r="P503" i="22"/>
  <c r="K505" i="22"/>
  <c r="K57" i="41" s="1"/>
  <c r="P499" i="22"/>
  <c r="AB56" i="41" s="1"/>
  <c r="O503" i="22"/>
  <c r="AA56" i="41" s="1"/>
  <c r="AA154" i="41" s="1"/>
  <c r="O116" i="41"/>
  <c r="O128" i="41" s="1"/>
  <c r="S116" i="41"/>
  <c r="S128" i="41" s="1"/>
  <c r="N499" i="22"/>
  <c r="R56" i="41" s="1"/>
  <c r="L499" i="22"/>
  <c r="L56" i="41" s="1"/>
  <c r="O509" i="22"/>
  <c r="AA57" i="41" s="1"/>
  <c r="M505" i="22"/>
  <c r="Q57" i="41" s="1"/>
  <c r="P505" i="22"/>
  <c r="AB57" i="41" s="1"/>
  <c r="AD117" i="41"/>
  <c r="AD129" i="41" s="1"/>
  <c r="Y120" i="41"/>
  <c r="Y132" i="41" s="1"/>
  <c r="N503" i="22"/>
  <c r="V56" i="41" s="1"/>
  <c r="V154" i="41" s="1"/>
  <c r="O499" i="22"/>
  <c r="W56" i="41" s="1"/>
  <c r="M118" i="41"/>
  <c r="M130" i="41" s="1"/>
  <c r="N509" i="22"/>
  <c r="V57" i="41" s="1"/>
  <c r="P521" i="22"/>
  <c r="AF59" i="41" s="1"/>
  <c r="K511" i="22"/>
  <c r="K58" i="41" s="1"/>
  <c r="N518" i="22"/>
  <c r="S59" i="41" s="1"/>
  <c r="L520" i="22"/>
  <c r="O59" i="41" s="1"/>
  <c r="L512" i="22"/>
  <c r="M58" i="41" s="1"/>
  <c r="AA165" i="41"/>
  <c r="AA167" i="41" s="1"/>
  <c r="AA175" i="41" s="1"/>
  <c r="Q512" i="22"/>
  <c r="AG58" i="41" s="1"/>
  <c r="O512" i="22"/>
  <c r="X58" i="41" s="1"/>
  <c r="P517" i="22"/>
  <c r="AB59" i="41" s="1"/>
  <c r="S165" i="41"/>
  <c r="S167" i="41" s="1"/>
  <c r="S175" i="41" s="1"/>
  <c r="N515" i="22"/>
  <c r="V58" i="41" s="1"/>
  <c r="X165" i="41"/>
  <c r="X167" i="41" s="1"/>
  <c r="X175" i="41" s="1"/>
  <c r="P511" i="22"/>
  <c r="AB58" i="41" s="1"/>
  <c r="V165" i="41"/>
  <c r="V167" i="41" s="1"/>
  <c r="V175" i="41" s="1"/>
  <c r="N519" i="22"/>
  <c r="T59" i="41" s="1"/>
  <c r="AF165" i="41"/>
  <c r="AF167" i="41" s="1"/>
  <c r="AF175" i="41" s="1"/>
  <c r="P519" i="22"/>
  <c r="AD59" i="41" s="1"/>
  <c r="O165" i="41"/>
  <c r="O167" i="41" s="1"/>
  <c r="O521" i="22"/>
  <c r="AA59" i="41" s="1"/>
  <c r="N513" i="22"/>
  <c r="T58" i="41" s="1"/>
  <c r="AE165" i="41"/>
  <c r="AE167" i="41" s="1"/>
  <c r="AE175" i="41" s="1"/>
  <c r="T165" i="41"/>
  <c r="T167" i="41" s="1"/>
  <c r="T175" i="41" s="1"/>
  <c r="P515" i="22"/>
  <c r="AF58" i="41" s="1"/>
  <c r="L515" i="22"/>
  <c r="P58" i="41" s="1"/>
  <c r="O520" i="22"/>
  <c r="Z59" i="41" s="1"/>
  <c r="L518" i="22"/>
  <c r="M59" i="41" s="1"/>
  <c r="AD165" i="41"/>
  <c r="AD167" i="41" s="1"/>
  <c r="AD175" i="41" s="1"/>
  <c r="P518" i="22"/>
  <c r="AC59" i="41" s="1"/>
  <c r="M165" i="41"/>
  <c r="M167" i="41" s="1"/>
  <c r="L521" i="22"/>
  <c r="P59" i="41" s="1"/>
  <c r="O515" i="22"/>
  <c r="AA58" i="41" s="1"/>
  <c r="P512" i="22"/>
  <c r="AC58" i="41" s="1"/>
  <c r="O514" i="22"/>
  <c r="Z58" i="41" s="1"/>
  <c r="AC165" i="41"/>
  <c r="AC167" i="41" s="1"/>
  <c r="AC175" i="41" s="1"/>
  <c r="P165" i="41"/>
  <c r="P167" i="41" s="1"/>
  <c r="O517" i="22"/>
  <c r="W59" i="41" s="1"/>
  <c r="J518" i="22"/>
  <c r="J59" i="41" s="1"/>
  <c r="N520" i="22"/>
  <c r="U59" i="41" s="1"/>
  <c r="O513" i="22"/>
  <c r="Y58" i="41" s="1"/>
  <c r="L514" i="22"/>
  <c r="O58" i="41" s="1"/>
  <c r="Q518" i="22"/>
  <c r="AG59" i="41" s="1"/>
  <c r="AG165" i="41"/>
  <c r="AG167" i="41" s="1"/>
  <c r="AG175" i="41" s="1"/>
  <c r="L513" i="22"/>
  <c r="N58" i="41" s="1"/>
  <c r="J512" i="22"/>
  <c r="J58" i="41" s="1"/>
  <c r="O518" i="22"/>
  <c r="X59" i="41" s="1"/>
  <c r="L511" i="22"/>
  <c r="L58" i="41" s="1"/>
  <c r="M517" i="22"/>
  <c r="Q59" i="41" s="1"/>
  <c r="P520" i="22"/>
  <c r="AE59" i="41" s="1"/>
  <c r="N521" i="22"/>
  <c r="V59" i="41" s="1"/>
  <c r="O511" i="22"/>
  <c r="W58" i="41" s="1"/>
  <c r="Y165" i="41"/>
  <c r="Y167" i="41" s="1"/>
  <c r="Y175" i="41" s="1"/>
  <c r="L517" i="22"/>
  <c r="L59" i="41" s="1"/>
  <c r="N517" i="22"/>
  <c r="R59" i="41" s="1"/>
  <c r="K517" i="22"/>
  <c r="K59" i="41" s="1"/>
  <c r="N129" i="81"/>
  <c r="H129" i="81" s="1"/>
  <c r="L483" i="22"/>
  <c r="P500" i="22"/>
  <c r="AC56" i="41" s="1"/>
  <c r="AC154" i="41" s="1"/>
  <c r="P487" i="22"/>
  <c r="AB54" i="41" s="1"/>
  <c r="N484" i="22"/>
  <c r="U53" i="41" s="1"/>
  <c r="Q165" i="41"/>
  <c r="M121" i="41"/>
  <c r="M133" i="41" s="1"/>
  <c r="M119" i="41"/>
  <c r="M131" i="41" s="1"/>
  <c r="M117" i="41"/>
  <c r="M129" i="41" s="1"/>
  <c r="M115" i="41"/>
  <c r="M127" i="41" s="1"/>
  <c r="AG116" i="41"/>
  <c r="AG128" i="41" s="1"/>
  <c r="AG119" i="41"/>
  <c r="AG131" i="41" s="1"/>
  <c r="AG115" i="41"/>
  <c r="AG127" i="41" s="1"/>
  <c r="AG120" i="41"/>
  <c r="AG132" i="41" s="1"/>
  <c r="AG117" i="41"/>
  <c r="AG129" i="41" s="1"/>
  <c r="AG122" i="41"/>
  <c r="AG134" i="41" s="1"/>
  <c r="AG121" i="41"/>
  <c r="AG133" i="41" s="1"/>
  <c r="AG118" i="41"/>
  <c r="AG130" i="41" s="1"/>
  <c r="J118" i="41"/>
  <c r="J130" i="41" s="1"/>
  <c r="J120" i="41"/>
  <c r="J132" i="41" s="1"/>
  <c r="J115" i="41"/>
  <c r="J127" i="41" s="1"/>
  <c r="J119" i="41"/>
  <c r="J131" i="41" s="1"/>
  <c r="J122" i="41"/>
  <c r="J134" i="41" s="1"/>
  <c r="J116" i="41"/>
  <c r="J128" i="41" s="1"/>
  <c r="J121" i="41"/>
  <c r="J133" i="41" s="1"/>
  <c r="J117" i="41"/>
  <c r="J129" i="41" s="1"/>
  <c r="X121" i="41"/>
  <c r="X133" i="41" s="1"/>
  <c r="X119" i="41"/>
  <c r="X131" i="41" s="1"/>
  <c r="X118" i="41"/>
  <c r="X130" i="41" s="1"/>
  <c r="X117" i="41"/>
  <c r="X129" i="41" s="1"/>
  <c r="S121" i="41"/>
  <c r="S133" i="41" s="1"/>
  <c r="S119" i="41"/>
  <c r="S131" i="41" s="1"/>
  <c r="S118" i="41"/>
  <c r="S130" i="41" s="1"/>
  <c r="S117" i="41"/>
  <c r="S129" i="41" s="1"/>
  <c r="T118" i="41"/>
  <c r="T130" i="41" s="1"/>
  <c r="Y116" i="41"/>
  <c r="Y128" i="41" s="1"/>
  <c r="X115" i="41"/>
  <c r="X127" i="41" s="1"/>
  <c r="X116" i="41"/>
  <c r="X128" i="41" s="1"/>
  <c r="S115" i="41"/>
  <c r="S127" i="41" s="1"/>
  <c r="AE115" i="41"/>
  <c r="AE127" i="41" s="1"/>
  <c r="Y115" i="41"/>
  <c r="Y127" i="41" s="1"/>
  <c r="AD115" i="41"/>
  <c r="AD127" i="41" s="1"/>
  <c r="O115" i="41"/>
  <c r="O127" i="41" s="1"/>
  <c r="T115" i="41"/>
  <c r="T127" i="41" s="1"/>
  <c r="L145" i="31"/>
  <c r="P55" i="81"/>
  <c r="P56" i="81" s="1"/>
  <c r="P114" i="81" s="1"/>
  <c r="M158" i="31"/>
  <c r="O145" i="31"/>
  <c r="L177" i="31"/>
  <c r="K165" i="41"/>
  <c r="K167" i="41" s="1"/>
  <c r="K175"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AF56" i="41" l="1"/>
  <c r="AF154" i="41" s="1"/>
  <c r="N53" i="41"/>
  <c r="N165" i="41" s="1"/>
  <c r="N167" i="41" s="1"/>
  <c r="R93" i="72" a="1"/>
  <c r="Z116" i="41"/>
  <c r="Z128" i="41" s="1"/>
  <c r="T117" i="41"/>
  <c r="T129" i="41" s="1"/>
  <c r="Y118" i="41"/>
  <c r="Y130" i="41" s="1"/>
  <c r="Y117" i="41"/>
  <c r="Y129" i="41" s="1"/>
  <c r="Y119" i="41"/>
  <c r="Y131" i="41" s="1"/>
  <c r="T116" i="41"/>
  <c r="T128" i="41" s="1"/>
  <c r="L165" i="41"/>
  <c r="O119" i="41"/>
  <c r="O131" i="41" s="1"/>
  <c r="AD116" i="41"/>
  <c r="AD128" i="41" s="1"/>
  <c r="U115" i="41"/>
  <c r="U127" i="41" s="1"/>
  <c r="O120" i="41"/>
  <c r="O132" i="41" s="1"/>
  <c r="N119" i="41"/>
  <c r="N131" i="41" s="1"/>
  <c r="U119" i="41"/>
  <c r="U131" i="41" s="1"/>
  <c r="T120" i="41"/>
  <c r="T132" i="41" s="1"/>
  <c r="U120" i="41"/>
  <c r="U132" i="41" s="1"/>
  <c r="S120" i="41"/>
  <c r="S132" i="41" s="1"/>
  <c r="M116" i="41"/>
  <c r="M128" i="41" s="1"/>
  <c r="N118" i="41"/>
  <c r="N130" i="41" s="1"/>
  <c r="N115" i="41"/>
  <c r="N127" i="41" s="1"/>
  <c r="N120" i="41"/>
  <c r="N132" i="41" s="1"/>
  <c r="T119" i="41"/>
  <c r="T131" i="41" s="1"/>
  <c r="AD119" i="41"/>
  <c r="AD131" i="41" s="1"/>
  <c r="X120" i="41"/>
  <c r="X132" i="41" s="1"/>
  <c r="N116" i="41"/>
  <c r="N128" i="41" s="1"/>
  <c r="N117" i="41"/>
  <c r="N129" i="41" s="1"/>
  <c r="Z119" i="41"/>
  <c r="Z131" i="41" s="1"/>
  <c r="M120" i="41"/>
  <c r="M132" i="41" s="1"/>
  <c r="Z115" i="41"/>
  <c r="Z127" i="41" s="1"/>
  <c r="Z120" i="41"/>
  <c r="Z132" i="41" s="1"/>
  <c r="U116" i="41"/>
  <c r="U128" i="41" s="1"/>
  <c r="R165" i="41"/>
  <c r="W165" i="41"/>
  <c r="U165" i="41"/>
  <c r="U167" i="41" s="1"/>
  <c r="U175" i="41" s="1"/>
  <c r="AB165" i="41"/>
  <c r="J173" i="41"/>
  <c r="M173" i="41"/>
  <c r="M175" i="41" s="1"/>
  <c r="N173" i="41"/>
  <c r="O173" i="41"/>
  <c r="O175" i="41" s="1"/>
  <c r="P173" i="41"/>
  <c r="P175" i="41" s="1"/>
  <c r="AE120" i="41"/>
  <c r="AE132" i="41" s="1"/>
  <c r="AC116" i="41"/>
  <c r="AC128" i="41" s="1"/>
  <c r="AD120" i="41"/>
  <c r="AD132" i="41" s="1"/>
  <c r="AD118" i="41"/>
  <c r="AC118" i="41"/>
  <c r="AC130" i="41" s="1"/>
  <c r="AC121" i="41"/>
  <c r="AC120" i="41"/>
  <c r="AC132" i="41" s="1"/>
  <c r="AC119" i="41"/>
  <c r="AC131" i="41" s="1"/>
  <c r="AC117" i="41"/>
  <c r="AC115" i="41"/>
  <c r="AC127" i="41" s="1"/>
  <c r="Z165" i="41"/>
  <c r="Z167" i="41" s="1"/>
  <c r="Z175"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F120" i="41" l="1"/>
  <c r="AF132" i="41" s="1"/>
  <c r="AE119" i="41"/>
  <c r="AE131" i="41" s="1"/>
  <c r="AF115" i="41"/>
  <c r="AF127" i="41" s="1"/>
  <c r="N175"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2" i="41"/>
  <c r="AE134" i="41" s="1"/>
  <c r="AF122" i="41"/>
  <c r="AF134" i="41" s="1"/>
  <c r="AF116" i="41"/>
  <c r="AF128" i="41" s="1"/>
  <c r="AC122" i="41"/>
  <c r="AC134" i="41" s="1"/>
  <c r="AF119" i="41"/>
  <c r="AF131" i="41" s="1"/>
  <c r="AD122" i="41"/>
  <c r="AD134" i="41" s="1"/>
  <c r="AF117" i="41"/>
  <c r="AF129" i="41" s="1"/>
  <c r="AE118" i="41"/>
  <c r="AE130" i="41" s="1"/>
  <c r="AD121" i="41"/>
  <c r="AD133" i="41" s="1"/>
  <c r="AE117" i="41"/>
  <c r="AE129" i="41" s="1"/>
  <c r="AF121" i="41"/>
  <c r="AF133" i="41" s="1"/>
  <c r="AF118" i="41"/>
  <c r="AF130" i="41" s="1"/>
  <c r="AE121" i="41"/>
  <c r="AE133" i="41" s="1"/>
  <c r="P119" i="41"/>
  <c r="P131" i="41" s="1"/>
  <c r="P117" i="41"/>
  <c r="P129" i="41" s="1"/>
  <c r="N121" i="41"/>
  <c r="N133" i="41" s="1"/>
  <c r="P116" i="41"/>
  <c r="P128" i="41" s="1"/>
  <c r="O117" i="41"/>
  <c r="O129" i="41" s="1"/>
  <c r="P122" i="41"/>
  <c r="P134" i="41" s="1"/>
  <c r="O121" i="41"/>
  <c r="O133" i="41" s="1"/>
  <c r="P115" i="41"/>
  <c r="P127" i="41" s="1"/>
  <c r="O118" i="41"/>
  <c r="O130" i="41" s="1"/>
  <c r="P121" i="41"/>
  <c r="P133" i="41" s="1"/>
  <c r="N122" i="41"/>
  <c r="N134" i="41" s="1"/>
  <c r="P120" i="41"/>
  <c r="P132" i="41" s="1"/>
  <c r="P118" i="41"/>
  <c r="P130" i="41" s="1"/>
  <c r="O122" i="41"/>
  <c r="O134" i="41" s="1"/>
  <c r="M122" i="41"/>
  <c r="M134" i="41" s="1"/>
  <c r="V118" i="41"/>
  <c r="V130" i="41" s="1"/>
  <c r="V122" i="41"/>
  <c r="V134" i="41" s="1"/>
  <c r="Y121" i="41"/>
  <c r="Y133" i="41" s="1"/>
  <c r="AA121" i="41"/>
  <c r="AA133" i="41" s="1"/>
  <c r="Z121" i="41"/>
  <c r="Z133" i="41" s="1"/>
  <c r="V119" i="41"/>
  <c r="V131" i="41" s="1"/>
  <c r="V115" i="41"/>
  <c r="V127" i="41" s="1"/>
  <c r="X122" i="41"/>
  <c r="X134" i="41" s="1"/>
  <c r="U122" i="41"/>
  <c r="U134" i="41" s="1"/>
  <c r="Z122" i="41"/>
  <c r="Z134" i="41" s="1"/>
  <c r="V121" i="41"/>
  <c r="V133" i="41" s="1"/>
  <c r="AA120" i="41"/>
  <c r="AA132" i="41" s="1"/>
  <c r="AA116" i="41"/>
  <c r="AA128" i="41" s="1"/>
  <c r="AA117" i="41"/>
  <c r="AA129" i="41" s="1"/>
  <c r="V117" i="41"/>
  <c r="V129" i="41" s="1"/>
  <c r="AA118" i="41"/>
  <c r="AA130" i="41" s="1"/>
  <c r="T122" i="41"/>
  <c r="T134" i="41" s="1"/>
  <c r="Z117" i="41"/>
  <c r="Z129" i="41" s="1"/>
  <c r="T121" i="41"/>
  <c r="T133" i="41" s="1"/>
  <c r="Z118" i="41"/>
  <c r="Z130" i="41" s="1"/>
  <c r="AA119" i="41"/>
  <c r="AA131" i="41" s="1"/>
  <c r="AA115" i="41"/>
  <c r="AA127" i="41" s="1"/>
  <c r="U121" i="41"/>
  <c r="U133" i="41" s="1"/>
  <c r="U118" i="41"/>
  <c r="U130" i="41" s="1"/>
  <c r="U117" i="41"/>
  <c r="U129" i="41" s="1"/>
  <c r="S122" i="41"/>
  <c r="S134" i="41" s="1"/>
  <c r="AA122" i="41"/>
  <c r="AA134" i="41" s="1"/>
  <c r="Y122" i="41"/>
  <c r="Y134" i="41" s="1"/>
  <c r="V120" i="41"/>
  <c r="V132" i="41" s="1"/>
  <c r="V116" i="41"/>
  <c r="V128" i="41" s="1"/>
  <c r="AC133" i="41"/>
  <c r="AC129" i="41"/>
  <c r="AD130" i="41"/>
  <c r="H58" i="73"/>
  <c r="H55" i="73"/>
  <c r="H57" i="73"/>
  <c r="H60" i="73"/>
  <c r="H54" i="73"/>
  <c r="H59" i="73"/>
  <c r="H56" i="73"/>
  <c r="J34" i="80"/>
  <c r="U34" i="80"/>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Q202" i="80" s="1"/>
  <c r="T42" i="80"/>
  <c r="T113" i="80" s="1"/>
  <c r="T41" i="80"/>
  <c r="T135" i="80" s="1"/>
  <c r="T40" i="80"/>
  <c r="T88" i="80" s="1"/>
  <c r="T39" i="80"/>
  <c r="T110" i="80" s="1"/>
  <c r="T38" i="80"/>
  <c r="T37" i="80"/>
  <c r="T85" i="80" s="1"/>
  <c r="T36" i="80"/>
  <c r="T130" i="80" s="1"/>
  <c r="T35" i="80"/>
  <c r="T129" i="80" s="1"/>
  <c r="T34" i="80"/>
  <c r="T128" i="80" s="1"/>
  <c r="S42" i="80"/>
  <c r="S204" i="80" s="1"/>
  <c r="S41" i="80"/>
  <c r="S40" i="80"/>
  <c r="S39" i="80"/>
  <c r="S38" i="80"/>
  <c r="S37" i="80"/>
  <c r="S36" i="80"/>
  <c r="P42" i="80"/>
  <c r="P204" i="80" s="1"/>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204" i="80" s="1"/>
  <c r="L40" i="80"/>
  <c r="L38" i="80"/>
  <c r="P36" i="80"/>
  <c r="L35" i="80"/>
  <c r="W42" i="80"/>
  <c r="W113" i="80" s="1"/>
  <c r="O41" i="80"/>
  <c r="K40" i="80"/>
  <c r="W38" i="80"/>
  <c r="W132" i="80" s="1"/>
  <c r="O37" i="80"/>
  <c r="K36" i="80"/>
  <c r="K35" i="80"/>
  <c r="K34" i="80"/>
  <c r="J42" i="80"/>
  <c r="J202" i="80" s="1"/>
  <c r="J41" i="80"/>
  <c r="J40" i="80"/>
  <c r="J39" i="80"/>
  <c r="J38" i="80"/>
  <c r="J37" i="80"/>
  <c r="J36" i="80"/>
  <c r="J35" i="80"/>
  <c r="X41" i="80"/>
  <c r="X112" i="80" s="1"/>
  <c r="L36" i="80"/>
  <c r="K41" i="80"/>
  <c r="O38" i="80"/>
  <c r="W35" i="80"/>
  <c r="W106" i="80" s="1"/>
  <c r="V42" i="80"/>
  <c r="V113" i="80" s="1"/>
  <c r="V40" i="80"/>
  <c r="V111" i="80" s="1"/>
  <c r="V38" i="80"/>
  <c r="V109" i="80" s="1"/>
  <c r="V37" i="80"/>
  <c r="V108" i="80" s="1"/>
  <c r="V36" i="80"/>
  <c r="V84" i="80" s="1"/>
  <c r="V34" i="80"/>
  <c r="V82" i="80" s="1"/>
  <c r="V35" i="80"/>
  <c r="V83" i="80" s="1"/>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H52" i="72"/>
  <c r="S161" i="72" s="1"/>
  <c r="S196" i="72" s="1"/>
  <c r="S226" i="72" s="1"/>
  <c r="H57" i="72"/>
  <c r="X166" i="72" s="1"/>
  <c r="X201" i="72" s="1"/>
  <c r="X231" i="72" s="1"/>
  <c r="H55" i="72"/>
  <c r="H53" i="72"/>
  <c r="U162" i="72" s="1"/>
  <c r="U197" i="72" s="1"/>
  <c r="U227" i="72" s="1"/>
  <c r="H56" i="72"/>
  <c r="X165" i="72" s="1"/>
  <c r="X200" i="72" s="1"/>
  <c r="X230" i="72" s="1"/>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U105" i="80"/>
  <c r="T86" i="80"/>
  <c r="U128" i="80"/>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W130" i="80"/>
  <c r="U82" i="80"/>
  <c r="Q20" i="31"/>
  <c r="P21" i="31"/>
  <c r="M255" i="80"/>
  <c r="M259" i="80"/>
  <c r="M258" i="80"/>
  <c r="M257" i="80"/>
  <c r="M253" i="80"/>
  <c r="M254" i="80"/>
  <c r="M252" i="80"/>
  <c r="M256" i="80"/>
  <c r="S74" i="74"/>
  <c r="S78" i="74"/>
  <c r="S77" i="74"/>
  <c r="S73" i="74"/>
  <c r="S76" i="74"/>
  <c r="S75" i="74"/>
  <c r="S72" i="74"/>
  <c r="L132" i="74"/>
  <c r="L133" i="74"/>
  <c r="J132" i="74"/>
  <c r="J133" i="74"/>
  <c r="T167" i="72" l="1"/>
  <c r="T202" i="72" s="1"/>
  <c r="T232" i="72" s="1"/>
  <c r="W218" i="83"/>
  <c r="W90" i="71" s="1"/>
  <c r="W195" i="71" s="1"/>
  <c r="Y131" i="83"/>
  <c r="W84" i="80"/>
  <c r="V132" i="83"/>
  <c r="W105" i="80"/>
  <c r="W82" i="80"/>
  <c r="V85" i="80"/>
  <c r="V131" i="80"/>
  <c r="Y160" i="72"/>
  <c r="Y195" i="72" s="1"/>
  <c r="Y225" i="72" s="1"/>
  <c r="X185" i="83"/>
  <c r="X56" i="71" s="1"/>
  <c r="X161" i="71" s="1"/>
  <c r="V164" i="72"/>
  <c r="V199" i="72" s="1"/>
  <c r="V229" i="72" s="1"/>
  <c r="X127" i="83"/>
  <c r="V107" i="80"/>
  <c r="U166" i="72"/>
  <c r="U201" i="72" s="1"/>
  <c r="U231" i="72" s="1"/>
  <c r="T90" i="80"/>
  <c r="P202" i="80"/>
  <c r="P206" i="80" s="1"/>
  <c r="U163" i="72"/>
  <c r="U198" i="72" s="1"/>
  <c r="U228" i="72" s="1"/>
  <c r="Y164" i="72"/>
  <c r="Y199" i="72" s="1"/>
  <c r="Y229" i="72" s="1"/>
  <c r="S126" i="83"/>
  <c r="W156" i="83"/>
  <c r="W26" i="71" s="1"/>
  <c r="W131" i="71" s="1"/>
  <c r="R127" i="83"/>
  <c r="V160" i="72"/>
  <c r="V195" i="72" s="1"/>
  <c r="V225" i="72" s="1"/>
  <c r="S166" i="72"/>
  <c r="S201" i="72" s="1"/>
  <c r="S231" i="72" s="1"/>
  <c r="X128" i="80"/>
  <c r="X125" i="83"/>
  <c r="T160" i="72"/>
  <c r="T195" i="72" s="1"/>
  <c r="T225" i="72" s="1"/>
  <c r="Y111" i="80"/>
  <c r="X105" i="80"/>
  <c r="AD141" i="41"/>
  <c r="T137" i="41"/>
  <c r="P141" i="41"/>
  <c r="M138" i="41"/>
  <c r="N141" i="41"/>
  <c r="Y141" i="41"/>
  <c r="U142" i="41"/>
  <c r="P138" i="41"/>
  <c r="O141" i="41"/>
  <c r="X141" i="41"/>
  <c r="V141" i="41"/>
  <c r="J141" i="41"/>
  <c r="AF141" i="41"/>
  <c r="AA141" i="41"/>
  <c r="S141" i="41"/>
  <c r="T141" i="41"/>
  <c r="M141" i="41"/>
  <c r="AE141" i="41"/>
  <c r="U141" i="41"/>
  <c r="AA138" i="41"/>
  <c r="S140" i="41"/>
  <c r="AD137" i="41"/>
  <c r="U138" i="41"/>
  <c r="Z137" i="41"/>
  <c r="J138" i="41"/>
  <c r="AF138" i="41"/>
  <c r="N139" i="41"/>
  <c r="X138" i="41"/>
  <c r="AC138" i="41"/>
  <c r="S142" i="41"/>
  <c r="T140" i="41"/>
  <c r="AC142" i="41"/>
  <c r="M142" i="41"/>
  <c r="U140" i="41"/>
  <c r="Y138" i="41"/>
  <c r="AG138" i="41"/>
  <c r="P144" i="41"/>
  <c r="X144" i="41"/>
  <c r="AA142" i="41"/>
  <c r="Z140" i="41"/>
  <c r="AC141" i="41"/>
  <c r="O143" i="41"/>
  <c r="AG140" i="41"/>
  <c r="O142" i="41"/>
  <c r="N142" i="41"/>
  <c r="Z138" i="41"/>
  <c r="P140" i="41"/>
  <c r="N140" i="41"/>
  <c r="N144" i="41"/>
  <c r="AE142" i="41"/>
  <c r="X142" i="41"/>
  <c r="P142" i="41"/>
  <c r="AF142" i="41"/>
  <c r="T138" i="41"/>
  <c r="AG142" i="41"/>
  <c r="T142" i="41"/>
  <c r="N138" i="41"/>
  <c r="V138" i="41"/>
  <c r="Z141" i="41"/>
  <c r="X140" i="41"/>
  <c r="AC143" i="41"/>
  <c r="V137" i="41"/>
  <c r="AA144" i="41"/>
  <c r="N143" i="41"/>
  <c r="AG139" i="41"/>
  <c r="AF140" i="41"/>
  <c r="V140" i="41"/>
  <c r="M143" i="41"/>
  <c r="J142" i="41"/>
  <c r="AD144" i="41"/>
  <c r="AD142" i="41"/>
  <c r="Z142" i="41"/>
  <c r="X143" i="41"/>
  <c r="Y140" i="41"/>
  <c r="M140" i="41"/>
  <c r="AE140" i="41"/>
  <c r="Y142" i="41"/>
  <c r="T143" i="41"/>
  <c r="V142" i="41"/>
  <c r="Z143" i="41"/>
  <c r="S138" i="41"/>
  <c r="O138" i="41"/>
  <c r="AD138" i="41"/>
  <c r="AE138" i="41"/>
  <c r="AG141" i="41"/>
  <c r="O140" i="41"/>
  <c r="V144" i="41"/>
  <c r="J144" i="41"/>
  <c r="AE143" i="41"/>
  <c r="Y143" i="41"/>
  <c r="S137" i="41"/>
  <c r="AC144" i="41"/>
  <c r="U143" i="41"/>
  <c r="M137" i="41"/>
  <c r="U144" i="41"/>
  <c r="AF143" i="41"/>
  <c r="AA137" i="41"/>
  <c r="O144" i="41"/>
  <c r="J137" i="41"/>
  <c r="AA143" i="41"/>
  <c r="Y137" i="41"/>
  <c r="AE144" i="41"/>
  <c r="S144" i="41"/>
  <c r="AD143" i="41"/>
  <c r="O137" i="41"/>
  <c r="S143" i="41"/>
  <c r="U137" i="41"/>
  <c r="M144" i="41"/>
  <c r="AG143" i="41"/>
  <c r="AF137" i="41"/>
  <c r="V143" i="41"/>
  <c r="AG137" i="41"/>
  <c r="AE137" i="41"/>
  <c r="Y144" i="41"/>
  <c r="T144" i="41"/>
  <c r="Z144" i="41"/>
  <c r="J143" i="41"/>
  <c r="N137" i="41"/>
  <c r="P143" i="41"/>
  <c r="P137" i="41"/>
  <c r="AF144" i="41"/>
  <c r="AC137" i="41"/>
  <c r="X137" i="41"/>
  <c r="AG144" i="41"/>
  <c r="T139" i="41"/>
  <c r="AE139" i="41"/>
  <c r="M139" i="41"/>
  <c r="V139" i="41"/>
  <c r="AA140" i="41"/>
  <c r="AC140" i="41"/>
  <c r="AD140" i="41"/>
  <c r="AC139" i="41"/>
  <c r="J140" i="41"/>
  <c r="X139" i="41"/>
  <c r="Y139" i="41"/>
  <c r="Z139" i="41"/>
  <c r="O139" i="41"/>
  <c r="S139" i="41"/>
  <c r="J139" i="41"/>
  <c r="AF139" i="41"/>
  <c r="AD139" i="41"/>
  <c r="P139" i="41"/>
  <c r="AA139" i="41"/>
  <c r="U139" i="41"/>
  <c r="W164" i="72"/>
  <c r="W199" i="72" s="1"/>
  <c r="W229" i="72" s="1"/>
  <c r="U164" i="72"/>
  <c r="U199" i="72" s="1"/>
  <c r="U229" i="72" s="1"/>
  <c r="R163" i="72"/>
  <c r="R198" i="72" s="1"/>
  <c r="R228" i="72" s="1"/>
  <c r="V163" i="72"/>
  <c r="V198" i="72" s="1"/>
  <c r="V228" i="72" s="1"/>
  <c r="W165" i="72"/>
  <c r="W200" i="72" s="1"/>
  <c r="W230" i="72" s="1"/>
  <c r="X154" i="83"/>
  <c r="X24" i="71" s="1"/>
  <c r="X129" i="71" s="1"/>
  <c r="T163" i="72"/>
  <c r="T198" i="72" s="1"/>
  <c r="T228" i="72" s="1"/>
  <c r="R164" i="72"/>
  <c r="R199" i="72" s="1"/>
  <c r="R229" i="72" s="1"/>
  <c r="Y163" i="72"/>
  <c r="Y198" i="72" s="1"/>
  <c r="Y228" i="72" s="1"/>
  <c r="U133" i="80"/>
  <c r="U110" i="80"/>
  <c r="U167" i="72"/>
  <c r="U202" i="72" s="1"/>
  <c r="U232" i="72" s="1"/>
  <c r="U131" i="83"/>
  <c r="U214" i="83"/>
  <c r="U86" i="71" s="1"/>
  <c r="U191" i="71" s="1"/>
  <c r="Y186" i="83"/>
  <c r="Y57" i="71" s="1"/>
  <c r="Y162" i="71" s="1"/>
  <c r="W160" i="83"/>
  <c r="W30" i="71" s="1"/>
  <c r="W135" i="71" s="1"/>
  <c r="X183" i="83"/>
  <c r="X54" i="71" s="1"/>
  <c r="X159" i="71" s="1"/>
  <c r="V130" i="80"/>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X156" i="83"/>
  <c r="X26" i="71" s="1"/>
  <c r="X131" i="71" s="1"/>
  <c r="Y216" i="83"/>
  <c r="Y88" i="71" s="1"/>
  <c r="Y193" i="71" s="1"/>
  <c r="X212" i="83"/>
  <c r="X84" i="71" s="1"/>
  <c r="X189" i="71" s="1"/>
  <c r="W187" i="83"/>
  <c r="W58" i="71" s="1"/>
  <c r="W163" i="71" s="1"/>
  <c r="W212" i="83"/>
  <c r="W84" i="71" s="1"/>
  <c r="W189" i="71" s="1"/>
  <c r="T129" i="83"/>
  <c r="S160" i="72"/>
  <c r="S195" i="72" s="1"/>
  <c r="S225" i="72" s="1"/>
  <c r="V166" i="72"/>
  <c r="V201" i="72" s="1"/>
  <c r="V231" i="72" s="1"/>
  <c r="X160" i="72"/>
  <c r="X195" i="72" s="1"/>
  <c r="X225" i="72" s="1"/>
  <c r="Y166" i="72"/>
  <c r="Y201" i="72" s="1"/>
  <c r="Y231" i="72" s="1"/>
  <c r="Y125" i="83"/>
  <c r="R129" i="83"/>
  <c r="T183" i="83"/>
  <c r="T54" i="71" s="1"/>
  <c r="T159" i="71" s="1"/>
  <c r="V214" i="83"/>
  <c r="V86" i="71" s="1"/>
  <c r="V191" i="71" s="1"/>
  <c r="W125" i="83"/>
  <c r="S125" i="83"/>
  <c r="X157" i="83"/>
  <c r="X27" i="71" s="1"/>
  <c r="X132" i="71" s="1"/>
  <c r="U188" i="83"/>
  <c r="U59" i="71" s="1"/>
  <c r="U164" i="71" s="1"/>
  <c r="R160" i="72"/>
  <c r="R195" i="72" s="1"/>
  <c r="R225" i="72" s="1"/>
  <c r="T166" i="72"/>
  <c r="T201" i="72" s="1"/>
  <c r="T231" i="72" s="1"/>
  <c r="W160" i="72"/>
  <c r="W195" i="72" s="1"/>
  <c r="W225" i="72" s="1"/>
  <c r="U160" i="72"/>
  <c r="U195" i="72" s="1"/>
  <c r="U225" i="72" s="1"/>
  <c r="Q125" i="83"/>
  <c r="Q125" i="72" s="1"/>
  <c r="Q195" i="72" s="1"/>
  <c r="Q225" i="72" s="1"/>
  <c r="S129" i="83"/>
  <c r="T187" i="83"/>
  <c r="T58" i="71" s="1"/>
  <c r="T163" i="71" s="1"/>
  <c r="T216" i="83"/>
  <c r="T88" i="71" s="1"/>
  <c r="T193" i="71" s="1"/>
  <c r="U108" i="80"/>
  <c r="R166" i="72"/>
  <c r="R201" i="72" s="1"/>
  <c r="R231" i="72" s="1"/>
  <c r="W166" i="72"/>
  <c r="W201" i="72" s="1"/>
  <c r="W231" i="72" s="1"/>
  <c r="R125" i="83"/>
  <c r="V183" i="83"/>
  <c r="V54" i="71" s="1"/>
  <c r="V159" i="71" s="1"/>
  <c r="X129" i="83"/>
  <c r="T185" i="83"/>
  <c r="T56" i="71" s="1"/>
  <c r="T161" i="71" s="1"/>
  <c r="Y214" i="83"/>
  <c r="Y86" i="71" s="1"/>
  <c r="Y191" i="71" s="1"/>
  <c r="U129" i="83"/>
  <c r="U154" i="83"/>
  <c r="U24" i="71" s="1"/>
  <c r="U129" i="71" s="1"/>
  <c r="Q127" i="83"/>
  <c r="Q127" i="72" s="1"/>
  <c r="Q197" i="72" s="1"/>
  <c r="Q227" i="72" s="1"/>
  <c r="R126" i="83"/>
  <c r="V189" i="83"/>
  <c r="V60" i="71" s="1"/>
  <c r="V165" i="71" s="1"/>
  <c r="X83" i="80"/>
  <c r="U83" i="80"/>
  <c r="Y105" i="80"/>
  <c r="T165" i="72"/>
  <c r="T200" i="72" s="1"/>
  <c r="T230" i="72" s="1"/>
  <c r="Y162" i="72"/>
  <c r="Y197" i="72" s="1"/>
  <c r="Y227" i="72" s="1"/>
  <c r="R162" i="72"/>
  <c r="R197" i="72" s="1"/>
  <c r="R227" i="72" s="1"/>
  <c r="S162" i="72"/>
  <c r="S197" i="72" s="1"/>
  <c r="S227" i="72" s="1"/>
  <c r="W135" i="80"/>
  <c r="Y128" i="80"/>
  <c r="T162" i="72"/>
  <c r="T197" i="72" s="1"/>
  <c r="T227" i="72" s="1"/>
  <c r="V162" i="72"/>
  <c r="V197" i="72" s="1"/>
  <c r="V227" i="72" s="1"/>
  <c r="W162" i="72"/>
  <c r="W197" i="72" s="1"/>
  <c r="W227" i="72" s="1"/>
  <c r="X162" i="72"/>
  <c r="X197" i="72" s="1"/>
  <c r="X227" i="72" s="1"/>
  <c r="Y161" i="72"/>
  <c r="Y196" i="72" s="1"/>
  <c r="Y226" i="72" s="1"/>
  <c r="Y155" i="83"/>
  <c r="Y25" i="71" s="1"/>
  <c r="Y130" i="71" s="1"/>
  <c r="U165" i="72"/>
  <c r="U200" i="72" s="1"/>
  <c r="U230" i="72" s="1"/>
  <c r="V132" i="80"/>
  <c r="V129" i="80"/>
  <c r="U84" i="80"/>
  <c r="Y129" i="80"/>
  <c r="V154" i="83"/>
  <c r="V24" i="71" s="1"/>
  <c r="V129" i="71" s="1"/>
  <c r="V212" i="83"/>
  <c r="V84" i="71" s="1"/>
  <c r="V189" i="71" s="1"/>
  <c r="V106" i="80"/>
  <c r="V86" i="80"/>
  <c r="X161" i="72"/>
  <c r="X196" i="72" s="1"/>
  <c r="X226" i="72" s="1"/>
  <c r="T189" i="83"/>
  <c r="T60" i="71" s="1"/>
  <c r="T165" i="71" s="1"/>
  <c r="R131" i="83"/>
  <c r="U184" i="83"/>
  <c r="U55" i="71" s="1"/>
  <c r="U160" i="71" s="1"/>
  <c r="V190" i="83"/>
  <c r="V61" i="71" s="1"/>
  <c r="V166" i="71" s="1"/>
  <c r="W183" i="83"/>
  <c r="W54" i="71" s="1"/>
  <c r="W159" i="71" s="1"/>
  <c r="U183" i="83"/>
  <c r="U54" i="71" s="1"/>
  <c r="U159" i="71" s="1"/>
  <c r="W154" i="83"/>
  <c r="W24" i="71" s="1"/>
  <c r="W129" i="71" s="1"/>
  <c r="U125" i="83"/>
  <c r="U212" i="83"/>
  <c r="U84" i="71" s="1"/>
  <c r="U189" i="71" s="1"/>
  <c r="U106" i="80"/>
  <c r="W89" i="80"/>
  <c r="R204" i="80"/>
  <c r="R206" i="80" s="1"/>
  <c r="U107" i="80"/>
  <c r="R167" i="72"/>
  <c r="R202" i="72" s="1"/>
  <c r="R232" i="72" s="1"/>
  <c r="T161" i="72"/>
  <c r="T196" i="72" s="1"/>
  <c r="T226" i="72" s="1"/>
  <c r="W161" i="72"/>
  <c r="W196" i="72" s="1"/>
  <c r="W226" i="72" s="1"/>
  <c r="Y165" i="72"/>
  <c r="Y200" i="72" s="1"/>
  <c r="Y230" i="72" s="1"/>
  <c r="X218" i="83"/>
  <c r="X90" i="71" s="1"/>
  <c r="X195" i="71" s="1"/>
  <c r="Q131" i="83"/>
  <c r="Q131" i="72" s="1"/>
  <c r="Q201" i="72" s="1"/>
  <c r="Q231" i="72" s="1"/>
  <c r="T213" i="83"/>
  <c r="T85" i="71" s="1"/>
  <c r="T190" i="71" s="1"/>
  <c r="Q126" i="83"/>
  <c r="Q126" i="72" s="1"/>
  <c r="Q196" i="72" s="1"/>
  <c r="Q226" i="72" s="1"/>
  <c r="V125" i="83"/>
  <c r="R165" i="72"/>
  <c r="R200" i="72" s="1"/>
  <c r="R230" i="72" s="1"/>
  <c r="U161" i="72"/>
  <c r="U196" i="72" s="1"/>
  <c r="U226" i="72" s="1"/>
  <c r="V184" i="83"/>
  <c r="V55" i="71" s="1"/>
  <c r="V160" i="71" s="1"/>
  <c r="W126" i="83"/>
  <c r="S131" i="83"/>
  <c r="W189" i="83"/>
  <c r="W60" i="71" s="1"/>
  <c r="W165" i="71" s="1"/>
  <c r="S165" i="72"/>
  <c r="S200" i="72" s="1"/>
  <c r="S230" i="72" s="1"/>
  <c r="R161" i="72"/>
  <c r="R196" i="72" s="1"/>
  <c r="R226" i="72" s="1"/>
  <c r="X155" i="83"/>
  <c r="X25" i="71" s="1"/>
  <c r="X130" i="71" s="1"/>
  <c r="U159" i="83"/>
  <c r="U29" i="71" s="1"/>
  <c r="U134" i="71" s="1"/>
  <c r="U217" i="83"/>
  <c r="U89" i="71" s="1"/>
  <c r="U194" i="71" s="1"/>
  <c r="S167" i="72"/>
  <c r="S202" i="72" s="1"/>
  <c r="S232" i="72" s="1"/>
  <c r="V167" i="72"/>
  <c r="V202" i="72" s="1"/>
  <c r="V232" i="72" s="1"/>
  <c r="W167" i="72"/>
  <c r="W202" i="72" s="1"/>
  <c r="W232" i="72" s="1"/>
  <c r="X167" i="72"/>
  <c r="X202" i="72" s="1"/>
  <c r="X232" i="72" s="1"/>
  <c r="Y167" i="72"/>
  <c r="Y202" i="72" s="1"/>
  <c r="Y232" i="72" s="1"/>
  <c r="R130" i="83"/>
  <c r="S130" i="83"/>
  <c r="T188" i="83"/>
  <c r="T59" i="71" s="1"/>
  <c r="T164" i="71" s="1"/>
  <c r="V159" i="83"/>
  <c r="V29" i="71" s="1"/>
  <c r="V134" i="71" s="1"/>
  <c r="Y217" i="83"/>
  <c r="Y89" i="71" s="1"/>
  <c r="Y194" i="71" s="1"/>
  <c r="U130" i="83"/>
  <c r="W217" i="83"/>
  <c r="W89" i="71" s="1"/>
  <c r="W194" i="71" s="1"/>
  <c r="X217" i="83"/>
  <c r="X89" i="71" s="1"/>
  <c r="X194" i="71" s="1"/>
  <c r="Q130" i="83"/>
  <c r="Q130" i="72" s="1"/>
  <c r="Q200" i="72" s="1"/>
  <c r="Q230" i="72" s="1"/>
  <c r="X186" i="83"/>
  <c r="X57" i="71" s="1"/>
  <c r="X162" i="71" s="1"/>
  <c r="T132" i="83"/>
  <c r="W85" i="80"/>
  <c r="X109" i="80"/>
  <c r="T160" i="83"/>
  <c r="T30" i="71" s="1"/>
  <c r="T135" i="71" s="1"/>
  <c r="V135" i="80"/>
  <c r="Q128" i="83"/>
  <c r="Q128" i="72" s="1"/>
  <c r="Q198" i="72" s="1"/>
  <c r="Q228" i="72" s="1"/>
  <c r="R132" i="83"/>
  <c r="X134" i="80"/>
  <c r="U218" i="83"/>
  <c r="U90" i="71" s="1"/>
  <c r="U195" i="71" s="1"/>
  <c r="U155" i="83"/>
  <c r="U25" i="71" s="1"/>
  <c r="U130" i="71" s="1"/>
  <c r="Y213" i="83"/>
  <c r="Y85" i="71" s="1"/>
  <c r="Y190" i="71" s="1"/>
  <c r="Y204" i="80"/>
  <c r="T108" i="80"/>
  <c r="Y132" i="80"/>
  <c r="Y135" i="80"/>
  <c r="W132" i="83"/>
  <c r="Y126" i="83"/>
  <c r="X130" i="80"/>
  <c r="X135" i="80"/>
  <c r="Y134" i="80"/>
  <c r="Y148" i="80" s="1"/>
  <c r="Y174" i="80" s="1"/>
  <c r="X128" i="83"/>
  <c r="Q132" i="83"/>
  <c r="Q132" i="72" s="1"/>
  <c r="Q202" i="72" s="1"/>
  <c r="Q232" i="72" s="1"/>
  <c r="U161" i="83"/>
  <c r="U31" i="71" s="1"/>
  <c r="U136" i="71" s="1"/>
  <c r="V161" i="83"/>
  <c r="V31" i="71" s="1"/>
  <c r="V136" i="71" s="1"/>
  <c r="W161" i="83"/>
  <c r="W31" i="71" s="1"/>
  <c r="W136" i="71" s="1"/>
  <c r="W219" i="83"/>
  <c r="W91" i="71" s="1"/>
  <c r="W196" i="71" s="1"/>
  <c r="U215" i="83"/>
  <c r="U87" i="71" s="1"/>
  <c r="U192" i="71" s="1"/>
  <c r="X161" i="83"/>
  <c r="X31" i="71" s="1"/>
  <c r="X136" i="71" s="1"/>
  <c r="W133" i="80"/>
  <c r="X90" i="80"/>
  <c r="X133" i="80"/>
  <c r="T132" i="80"/>
  <c r="T158" i="83"/>
  <c r="T28" i="71" s="1"/>
  <c r="T133" i="71" s="1"/>
  <c r="W129" i="83"/>
  <c r="T126" i="83"/>
  <c r="V216" i="83"/>
  <c r="V88" i="71" s="1"/>
  <c r="V193" i="71" s="1"/>
  <c r="Q129" i="83"/>
  <c r="Q129" i="72" s="1"/>
  <c r="Q199" i="72" s="1"/>
  <c r="Q229" i="72" s="1"/>
  <c r="W216" i="83"/>
  <c r="W88" i="71" s="1"/>
  <c r="W193" i="71" s="1"/>
  <c r="T152" i="83"/>
  <c r="T22" i="71" s="1"/>
  <c r="T127" i="71" s="1"/>
  <c r="T128" i="83"/>
  <c r="S132" i="83"/>
  <c r="Y187" i="83"/>
  <c r="Y58" i="71" s="1"/>
  <c r="Y163" i="71" s="1"/>
  <c r="V187" i="83"/>
  <c r="V58" i="71" s="1"/>
  <c r="V163" i="71" s="1"/>
  <c r="W158" i="83"/>
  <c r="W28" i="71" s="1"/>
  <c r="W133" i="71" s="1"/>
  <c r="X182" i="83"/>
  <c r="X53" i="71" s="1"/>
  <c r="X158" i="71" s="1"/>
  <c r="Y181" i="83"/>
  <c r="Y52" i="71" s="1"/>
  <c r="Y157" i="71" s="1"/>
  <c r="V158" i="83"/>
  <c r="V28" i="71" s="1"/>
  <c r="V133" i="71" s="1"/>
  <c r="P77" i="53"/>
  <c r="P83" i="53" s="1"/>
  <c r="O79" i="53"/>
  <c r="O85" i="53" s="1"/>
  <c r="P79" i="53"/>
  <c r="P85" i="53" s="1"/>
  <c r="O77" i="53"/>
  <c r="O83" i="53" s="1"/>
  <c r="W190" i="83"/>
  <c r="W61" i="71" s="1"/>
  <c r="W166" i="71" s="1"/>
  <c r="V128" i="83"/>
  <c r="U219" i="83"/>
  <c r="U91" i="71" s="1"/>
  <c r="U196" i="71" s="1"/>
  <c r="U132" i="83"/>
  <c r="T186" i="83"/>
  <c r="T57" i="71" s="1"/>
  <c r="T162" i="71" s="1"/>
  <c r="X215" i="83"/>
  <c r="X87" i="71" s="1"/>
  <c r="X192" i="71" s="1"/>
  <c r="T190" i="83"/>
  <c r="T61" i="71" s="1"/>
  <c r="T166" i="71" s="1"/>
  <c r="U190" i="83"/>
  <c r="U61" i="71" s="1"/>
  <c r="U166" i="71" s="1"/>
  <c r="V186" i="83"/>
  <c r="V57" i="71" s="1"/>
  <c r="V162" i="71" s="1"/>
  <c r="R128" i="83"/>
  <c r="U186" i="83"/>
  <c r="U57" i="71" s="1"/>
  <c r="U162" i="71" s="1"/>
  <c r="X132" i="83"/>
  <c r="W157" i="83"/>
  <c r="W27" i="71" s="1"/>
  <c r="W132" i="71" s="1"/>
  <c r="S128" i="83"/>
  <c r="Y132" i="83"/>
  <c r="U128" i="83"/>
  <c r="V218" i="83"/>
  <c r="V90" i="71" s="1"/>
  <c r="V195" i="71" s="1"/>
  <c r="X190" i="83"/>
  <c r="X61" i="71" s="1"/>
  <c r="X166" i="71" s="1"/>
  <c r="V131" i="83"/>
  <c r="U158" i="83"/>
  <c r="U28" i="71" s="1"/>
  <c r="U133" i="71" s="1"/>
  <c r="W186" i="83"/>
  <c r="W57" i="71" s="1"/>
  <c r="W162" i="71" s="1"/>
  <c r="U216" i="83"/>
  <c r="U88" i="71" s="1"/>
  <c r="U193" i="71" s="1"/>
  <c r="Y152" i="83"/>
  <c r="Y22" i="71" s="1"/>
  <c r="Y127" i="71" s="1"/>
  <c r="U187" i="83"/>
  <c r="U58" i="71" s="1"/>
  <c r="U163" i="71" s="1"/>
  <c r="X158" i="83"/>
  <c r="X28" i="71" s="1"/>
  <c r="X133" i="71" s="1"/>
  <c r="X187" i="83"/>
  <c r="X58" i="71" s="1"/>
  <c r="X163" i="71" s="1"/>
  <c r="U157" i="83"/>
  <c r="U27" i="71" s="1"/>
  <c r="U132" i="71" s="1"/>
  <c r="T217" i="83"/>
  <c r="T89" i="71" s="1"/>
  <c r="T194" i="71" s="1"/>
  <c r="T214" i="83"/>
  <c r="T86" i="71" s="1"/>
  <c r="T191" i="71" s="1"/>
  <c r="Y129" i="83"/>
  <c r="T184" i="83"/>
  <c r="T55" i="71" s="1"/>
  <c r="T160" i="71" s="1"/>
  <c r="X153" i="83"/>
  <c r="X23" i="71" s="1"/>
  <c r="X128" i="71" s="1"/>
  <c r="T181" i="83"/>
  <c r="T52" i="71" s="1"/>
  <c r="T157" i="71" s="1"/>
  <c r="W215" i="83"/>
  <c r="W87" i="71" s="1"/>
  <c r="W192" i="71" s="1"/>
  <c r="T130" i="83"/>
  <c r="Y158" i="83"/>
  <c r="Y28" i="71" s="1"/>
  <c r="Y133" i="71" s="1"/>
  <c r="X219" i="83"/>
  <c r="X91" i="71" s="1"/>
  <c r="X196" i="71" s="1"/>
  <c r="T155" i="83"/>
  <c r="T25" i="71" s="1"/>
  <c r="T130" i="71" s="1"/>
  <c r="T127" i="83"/>
  <c r="T159" i="83"/>
  <c r="T29" i="71" s="1"/>
  <c r="T134" i="71" s="1"/>
  <c r="X124" i="83"/>
  <c r="V160" i="83"/>
  <c r="V30" i="71" s="1"/>
  <c r="V135" i="71" s="1"/>
  <c r="T156" i="83"/>
  <c r="T26" i="71" s="1"/>
  <c r="T131" i="71" s="1"/>
  <c r="T210" i="83"/>
  <c r="T82" i="71" s="1"/>
  <c r="T187" i="71" s="1"/>
  <c r="W128" i="83"/>
  <c r="X216" i="83"/>
  <c r="X88" i="71" s="1"/>
  <c r="X193" i="71" s="1"/>
  <c r="Y210" i="83"/>
  <c r="Y82" i="71" s="1"/>
  <c r="Y187" i="71" s="1"/>
  <c r="X188" i="83"/>
  <c r="X59" i="71" s="1"/>
  <c r="X164" i="71" s="1"/>
  <c r="U156" i="83"/>
  <c r="U26" i="71" s="1"/>
  <c r="U131" i="71" s="1"/>
  <c r="X184" i="83"/>
  <c r="X55" i="71" s="1"/>
  <c r="X160" i="71" s="1"/>
  <c r="X131" i="80"/>
  <c r="U136" i="80"/>
  <c r="Y202" i="80"/>
  <c r="X210" i="83"/>
  <c r="X82" i="71" s="1"/>
  <c r="X187" i="71" s="1"/>
  <c r="W159" i="83"/>
  <c r="W29" i="71" s="1"/>
  <c r="W134" i="71" s="1"/>
  <c r="Y106" i="80"/>
  <c r="V134" i="80"/>
  <c r="W130" i="83"/>
  <c r="V213" i="83"/>
  <c r="V85" i="71" s="1"/>
  <c r="V190" i="71" s="1"/>
  <c r="V217" i="83"/>
  <c r="V89" i="71" s="1"/>
  <c r="V194" i="71" s="1"/>
  <c r="X89" i="80"/>
  <c r="X86" i="80"/>
  <c r="T131" i="80"/>
  <c r="W108" i="80"/>
  <c r="Y112" i="80"/>
  <c r="T105" i="80"/>
  <c r="X108" i="80"/>
  <c r="U202" i="80"/>
  <c r="X107" i="80"/>
  <c r="W129" i="80"/>
  <c r="S202" i="80"/>
  <c r="S206" i="80" s="1"/>
  <c r="T89" i="80"/>
  <c r="T112" i="80"/>
  <c r="V89" i="80"/>
  <c r="V88" i="80"/>
  <c r="L202" i="80"/>
  <c r="L206" i="80" s="1"/>
  <c r="Y136" i="80"/>
  <c r="Y113" i="80"/>
  <c r="X189" i="83"/>
  <c r="X60" i="71" s="1"/>
  <c r="X165" i="71" s="1"/>
  <c r="X160" i="83"/>
  <c r="X30" i="71" s="1"/>
  <c r="X135" i="71" s="1"/>
  <c r="Y212" i="83"/>
  <c r="Y84" i="71" s="1"/>
  <c r="Y189" i="71" s="1"/>
  <c r="T157" i="83"/>
  <c r="T27" i="71" s="1"/>
  <c r="T132" i="71" s="1"/>
  <c r="U90" i="80"/>
  <c r="U204" i="80"/>
  <c r="W83" i="80"/>
  <c r="V156" i="83"/>
  <c r="V26" i="71" s="1"/>
  <c r="V131" i="71" s="1"/>
  <c r="Y159" i="83"/>
  <c r="Y29" i="71" s="1"/>
  <c r="Y134" i="71" s="1"/>
  <c r="V211" i="83"/>
  <c r="V83" i="71" s="1"/>
  <c r="V188" i="71" s="1"/>
  <c r="T82" i="80"/>
  <c r="V130" i="83"/>
  <c r="Y189" i="83"/>
  <c r="Y60" i="71" s="1"/>
  <c r="Y165" i="71" s="1"/>
  <c r="Y188" i="83"/>
  <c r="Y59" i="71" s="1"/>
  <c r="Y164" i="71" s="1"/>
  <c r="V182" i="83"/>
  <c r="V53" i="71" s="1"/>
  <c r="V158" i="71" s="1"/>
  <c r="V133" i="80"/>
  <c r="T154" i="83"/>
  <c r="T24" i="71" s="1"/>
  <c r="T129" i="71" s="1"/>
  <c r="V185" i="83"/>
  <c r="V56" i="71" s="1"/>
  <c r="V161" i="71" s="1"/>
  <c r="Y183" i="83"/>
  <c r="Y54" i="71" s="1"/>
  <c r="Y159" i="71" s="1"/>
  <c r="U185" i="83"/>
  <c r="U56" i="71" s="1"/>
  <c r="U161" i="71" s="1"/>
  <c r="V127" i="83"/>
  <c r="V126" i="83"/>
  <c r="V155" i="83"/>
  <c r="V25" i="71" s="1"/>
  <c r="V130" i="71" s="1"/>
  <c r="X123" i="83"/>
  <c r="Y160" i="83"/>
  <c r="Y30" i="71" s="1"/>
  <c r="Y135" i="71" s="1"/>
  <c r="U127" i="83"/>
  <c r="X126" i="83"/>
  <c r="V188" i="83"/>
  <c r="V59" i="71" s="1"/>
  <c r="V164" i="71" s="1"/>
  <c r="U124" i="83"/>
  <c r="X181" i="83"/>
  <c r="X52" i="71" s="1"/>
  <c r="X157" i="71" s="1"/>
  <c r="Y218" i="83"/>
  <c r="Y90" i="71" s="1"/>
  <c r="Y195" i="71" s="1"/>
  <c r="V153" i="83"/>
  <c r="V23" i="71" s="1"/>
  <c r="V128" i="71" s="1"/>
  <c r="X213" i="83"/>
  <c r="X85" i="71" s="1"/>
  <c r="X190" i="71" s="1"/>
  <c r="T212" i="83"/>
  <c r="T84" i="71" s="1"/>
  <c r="T189" i="71" s="1"/>
  <c r="Y154" i="83"/>
  <c r="Y24" i="71" s="1"/>
  <c r="Y129" i="71" s="1"/>
  <c r="U211" i="83"/>
  <c r="U83" i="71" s="1"/>
  <c r="U188" i="71" s="1"/>
  <c r="V204" i="80"/>
  <c r="Y190" i="83"/>
  <c r="Y61" i="71" s="1"/>
  <c r="Y166" i="71" s="1"/>
  <c r="X159" i="83"/>
  <c r="X29" i="71" s="1"/>
  <c r="X134" i="71" s="1"/>
  <c r="Y219" i="83"/>
  <c r="Y91" i="71" s="1"/>
  <c r="Y196" i="71" s="1"/>
  <c r="T125" i="83"/>
  <c r="Y161" i="83"/>
  <c r="Y31" i="71" s="1"/>
  <c r="Y136" i="71" s="1"/>
  <c r="V136" i="80"/>
  <c r="W188" i="83"/>
  <c r="W59" i="71" s="1"/>
  <c r="W164" i="71" s="1"/>
  <c r="X130" i="83"/>
  <c r="Y130" i="83"/>
  <c r="X131" i="83"/>
  <c r="U182" i="83"/>
  <c r="U53" i="71" s="1"/>
  <c r="U158" i="71" s="1"/>
  <c r="V110" i="80"/>
  <c r="T106" i="80"/>
  <c r="V90" i="80"/>
  <c r="Y110" i="80"/>
  <c r="T83" i="80"/>
  <c r="U111" i="80"/>
  <c r="Y157" i="83"/>
  <c r="Y27" i="71" s="1"/>
  <c r="Y132" i="71" s="1"/>
  <c r="W152" i="83"/>
  <c r="W22" i="71" s="1"/>
  <c r="W127" i="71" s="1"/>
  <c r="T218" i="83"/>
  <c r="T90" i="71" s="1"/>
  <c r="T195" i="71" s="1"/>
  <c r="U189" i="83"/>
  <c r="U60" i="71" s="1"/>
  <c r="U165" i="71" s="1"/>
  <c r="T131" i="83"/>
  <c r="Y185" i="83"/>
  <c r="Y56" i="71" s="1"/>
  <c r="Y161" i="71" s="1"/>
  <c r="Y127" i="83"/>
  <c r="W155" i="83"/>
  <c r="W25" i="71" s="1"/>
  <c r="W130" i="71" s="1"/>
  <c r="W184" i="83"/>
  <c r="W55" i="71" s="1"/>
  <c r="W160" i="71" s="1"/>
  <c r="U126" i="83"/>
  <c r="W153" i="83"/>
  <c r="W23" i="71" s="1"/>
  <c r="W128" i="71" s="1"/>
  <c r="W123" i="83"/>
  <c r="Y182" i="83"/>
  <c r="Y53" i="71" s="1"/>
  <c r="Y158" i="71" s="1"/>
  <c r="T87" i="80"/>
  <c r="Y87" i="80"/>
  <c r="T133" i="80"/>
  <c r="U132" i="80"/>
  <c r="U134" i="80"/>
  <c r="Y128" i="83"/>
  <c r="Y184" i="83"/>
  <c r="Y55" i="71" s="1"/>
  <c r="Y160" i="71" s="1"/>
  <c r="Y156" i="83"/>
  <c r="Y26" i="71" s="1"/>
  <c r="Y131" i="71" s="1"/>
  <c r="U160" i="83"/>
  <c r="U30" i="71" s="1"/>
  <c r="U135" i="71" s="1"/>
  <c r="W185" i="83"/>
  <c r="W56" i="71" s="1"/>
  <c r="W161" i="71" s="1"/>
  <c r="V219" i="83"/>
  <c r="V91" i="71" s="1"/>
  <c r="V196" i="71" s="1"/>
  <c r="W127" i="83"/>
  <c r="W182" i="83"/>
  <c r="W53" i="71" s="1"/>
  <c r="W158" i="71" s="1"/>
  <c r="V202" i="80"/>
  <c r="U109" i="80"/>
  <c r="W131" i="83"/>
  <c r="V129" i="83"/>
  <c r="X214" i="83"/>
  <c r="X86" i="71" s="1"/>
  <c r="X191" i="71" s="1"/>
  <c r="V157" i="83"/>
  <c r="V27" i="71" s="1"/>
  <c r="V132" i="71" s="1"/>
  <c r="V215" i="83"/>
  <c r="V87" i="71" s="1"/>
  <c r="V192" i="71" s="1"/>
  <c r="T215" i="83"/>
  <c r="T87" i="71" s="1"/>
  <c r="T192" i="71" s="1"/>
  <c r="W90" i="80"/>
  <c r="W136" i="80"/>
  <c r="X111" i="80"/>
  <c r="X113" i="80"/>
  <c r="U210" i="83"/>
  <c r="U82" i="71" s="1"/>
  <c r="U187" i="71" s="1"/>
  <c r="Q204" i="80"/>
  <c r="Q206" i="80" s="1"/>
  <c r="U181" i="83"/>
  <c r="U52" i="71" s="1"/>
  <c r="U157" i="71" s="1"/>
  <c r="Y84" i="80"/>
  <c r="Y86" i="80"/>
  <c r="T84" i="80"/>
  <c r="T153" i="83"/>
  <c r="T23" i="71" s="1"/>
  <c r="T128" i="71" s="1"/>
  <c r="T161" i="83"/>
  <c r="T31" i="71" s="1"/>
  <c r="T136" i="71" s="1"/>
  <c r="U123" i="83"/>
  <c r="T182" i="83"/>
  <c r="T53" i="71" s="1"/>
  <c r="T158" i="71" s="1"/>
  <c r="T219" i="83"/>
  <c r="T91" i="71" s="1"/>
  <c r="T196" i="71" s="1"/>
  <c r="W86" i="80"/>
  <c r="X202" i="80"/>
  <c r="X206" i="80" s="1"/>
  <c r="T211" i="83"/>
  <c r="T83" i="71" s="1"/>
  <c r="T188" i="71" s="1"/>
  <c r="V152" i="83"/>
  <c r="V22" i="71" s="1"/>
  <c r="V127" i="71" s="1"/>
  <c r="W88" i="80"/>
  <c r="Y107" i="80"/>
  <c r="W134" i="80"/>
  <c r="W109" i="80"/>
  <c r="T111" i="80"/>
  <c r="T107" i="80"/>
  <c r="T109" i="80"/>
  <c r="T136" i="80"/>
  <c r="W214" i="83"/>
  <c r="W86" i="71" s="1"/>
  <c r="W191" i="71" s="1"/>
  <c r="U213" i="83"/>
  <c r="U85" i="71" s="1"/>
  <c r="U190" i="71" s="1"/>
  <c r="W213" i="83"/>
  <c r="W85" i="71" s="1"/>
  <c r="W190" i="71" s="1"/>
  <c r="Y215" i="83"/>
  <c r="Y87" i="71" s="1"/>
  <c r="Y192" i="71" s="1"/>
  <c r="W110" i="80"/>
  <c r="W124" i="83"/>
  <c r="W202" i="80"/>
  <c r="W210" i="83"/>
  <c r="W82" i="71" s="1"/>
  <c r="W187" i="71" s="1"/>
  <c r="T202" i="80"/>
  <c r="X136" i="80"/>
  <c r="X129" i="80"/>
  <c r="X87" i="80"/>
  <c r="V181" i="83"/>
  <c r="V52" i="71" s="1"/>
  <c r="V157" i="71" s="1"/>
  <c r="Y211" i="83"/>
  <c r="Y83" i="71" s="1"/>
  <c r="Y188" i="71" s="1"/>
  <c r="Y131" i="80"/>
  <c r="Y85" i="80"/>
  <c r="V128" i="80"/>
  <c r="T134" i="80"/>
  <c r="V210" i="83"/>
  <c r="V82" i="71" s="1"/>
  <c r="V187" i="71" s="1"/>
  <c r="U112" i="80"/>
  <c r="W204" i="80"/>
  <c r="T204" i="80"/>
  <c r="Y153" i="83"/>
  <c r="Y23" i="71" s="1"/>
  <c r="Y128" i="71" s="1"/>
  <c r="O204" i="80"/>
  <c r="O206" i="80" s="1"/>
  <c r="V105" i="80"/>
  <c r="U85" i="80"/>
  <c r="U135" i="80"/>
  <c r="U142" i="80"/>
  <c r="U168" i="80" s="1"/>
  <c r="L77" i="53"/>
  <c r="L83" i="53" s="1"/>
  <c r="M77" i="53"/>
  <c r="M83" i="53" s="1"/>
  <c r="M79" i="53"/>
  <c r="M85" i="53" s="1"/>
  <c r="L79" i="53"/>
  <c r="L85" i="53" s="1"/>
  <c r="M54" i="53"/>
  <c r="W144" i="80"/>
  <c r="W170" i="80" s="1"/>
  <c r="W142" i="80"/>
  <c r="W168" i="80" s="1"/>
  <c r="X22" i="71"/>
  <c r="X127" i="71" s="1"/>
  <c r="Q21" i="31"/>
  <c r="Q23" i="31" s="1"/>
  <c r="R20" i="31"/>
  <c r="X188" i="71"/>
  <c r="W188" i="71"/>
  <c r="W157" i="71"/>
  <c r="U128" i="71"/>
  <c r="V145" i="80" l="1"/>
  <c r="V171" i="80" s="1"/>
  <c r="V144" i="80"/>
  <c r="V170" i="80" s="1"/>
  <c r="X142" i="80"/>
  <c r="X168" i="80" s="1"/>
  <c r="X143" i="80"/>
  <c r="X169" i="80" s="1"/>
  <c r="T150" i="80"/>
  <c r="T176" i="80" s="1"/>
  <c r="U145" i="80"/>
  <c r="U171" i="80" s="1"/>
  <c r="N146" i="41"/>
  <c r="P146" i="41"/>
  <c r="P148" i="41" s="1" a="1"/>
  <c r="AG146" i="41"/>
  <c r="U146" i="41"/>
  <c r="U148" i="41" s="1" a="1"/>
  <c r="U148" i="41" s="1"/>
  <c r="U150" i="41" s="1"/>
  <c r="Z146" i="41"/>
  <c r="Z148" i="41" s="1" a="1"/>
  <c r="AE146" i="41"/>
  <c r="AE148" i="41" s="1" a="1"/>
  <c r="AE148" i="41" s="1"/>
  <c r="AE150" i="41" s="1"/>
  <c r="M146" i="41"/>
  <c r="M148" i="41" s="1" a="1"/>
  <c r="T146" i="41"/>
  <c r="T148" i="41" s="1" a="1"/>
  <c r="X146" i="41"/>
  <c r="X148" i="41" s="1" a="1"/>
  <c r="U147" i="80"/>
  <c r="U173" i="80" s="1"/>
  <c r="S146" i="41"/>
  <c r="S148" i="41" s="1" a="1"/>
  <c r="V146" i="41"/>
  <c r="V148" i="41" s="1" a="1"/>
  <c r="AF146" i="41"/>
  <c r="AF148" i="41" s="1" a="1"/>
  <c r="AC146" i="41"/>
  <c r="AC148" i="41" s="1" a="1"/>
  <c r="Y146" i="41"/>
  <c r="Y148" i="41" s="1" a="1"/>
  <c r="U143" i="80"/>
  <c r="U169" i="80" s="1"/>
  <c r="N148" i="41" a="1"/>
  <c r="AG148" i="41" a="1"/>
  <c r="AD146" i="41"/>
  <c r="AA146" i="41"/>
  <c r="J146" i="41"/>
  <c r="O146"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O91" i="53"/>
  <c r="P91" i="53"/>
  <c r="W143" i="80"/>
  <c r="W169" i="80" s="1"/>
  <c r="U148" i="80"/>
  <c r="U174" i="80" s="1"/>
  <c r="X145" i="80"/>
  <c r="X171" i="80" s="1"/>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M91" i="53"/>
  <c r="L91" i="53"/>
  <c r="R21" i="31"/>
  <c r="R23" i="31" s="1"/>
  <c r="S20" i="31"/>
  <c r="S21" i="31" s="1"/>
  <c r="S23" i="31" s="1"/>
  <c r="R73" i="74"/>
  <c r="R72" i="74"/>
  <c r="R76" i="74"/>
  <c r="R75" i="74"/>
  <c r="R78" i="74"/>
  <c r="R77" i="74"/>
  <c r="R74" i="74"/>
  <c r="T208" i="80" l="1"/>
  <c r="H214" i="80" a="1"/>
  <c r="H214" i="80" s="1"/>
  <c r="Z148" i="41"/>
  <c r="Z150" i="41" s="1"/>
  <c r="AG148" i="41"/>
  <c r="AG150" i="41" s="1"/>
  <c r="X148" i="41"/>
  <c r="X150" i="41" s="1"/>
  <c r="P148" i="41"/>
  <c r="P150" i="41" s="1"/>
  <c r="N148" i="41"/>
  <c r="N150" i="41" s="1"/>
  <c r="V148" i="41"/>
  <c r="V150" i="41" s="1"/>
  <c r="T148" i="41"/>
  <c r="T150" i="41" s="1"/>
  <c r="AC148" i="41"/>
  <c r="AC150" i="41" s="1"/>
  <c r="M148" i="41"/>
  <c r="M150" i="41" s="1"/>
  <c r="Y148" i="41"/>
  <c r="Y150" i="41" s="1"/>
  <c r="S148" i="41"/>
  <c r="S150" i="41" s="1"/>
  <c r="AF148" i="41"/>
  <c r="AF150" i="41" s="1"/>
  <c r="O148" i="41" a="1"/>
  <c r="O148" i="41" s="1"/>
  <c r="O150" i="41" s="1"/>
  <c r="J148" i="41" a="1"/>
  <c r="J148" i="41" s="1"/>
  <c r="J150" i="41" s="1"/>
  <c r="AA148" i="41" a="1"/>
  <c r="AA148" i="41" s="1"/>
  <c r="AA150" i="41" s="1"/>
  <c r="AD148" i="41" a="1"/>
  <c r="AD148" i="41" s="1"/>
  <c r="AD150" i="41" s="1"/>
  <c r="U176" i="80"/>
  <c r="U177" i="80" s="1"/>
  <c r="W176" i="80"/>
  <c r="W177" i="80" s="1"/>
  <c r="Y176" i="80"/>
  <c r="Y177" i="80" s="1"/>
  <c r="M93" i="53"/>
  <c r="M279" i="53" s="1"/>
  <c r="M267" i="53"/>
  <c r="M78" i="83" s="1"/>
  <c r="L93" i="53"/>
  <c r="L278" i="53" s="1"/>
  <c r="L267" i="53"/>
  <c r="L78" i="83" s="1"/>
  <c r="X177" i="80"/>
  <c r="P93" i="53"/>
  <c r="P296" i="53" s="1"/>
  <c r="P267" i="53"/>
  <c r="P78" i="83" s="1"/>
  <c r="O93" i="53"/>
  <c r="O301" i="53" s="1"/>
  <c r="O113" i="83" s="1"/>
  <c r="O218" i="83" s="1"/>
  <c r="O90" i="71" s="1"/>
  <c r="O267" i="53"/>
  <c r="O78" i="83" s="1"/>
  <c r="V177" i="80"/>
  <c r="T177" i="80"/>
  <c r="V208" i="80"/>
  <c r="X208" i="80"/>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H183" i="31" a="1"/>
  <c r="H183" i="31"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H219" i="80" l="1"/>
  <c r="H218" i="80"/>
  <c r="H222" i="80"/>
  <c r="H220" i="80"/>
  <c r="H215" i="80"/>
  <c r="H217" i="80"/>
  <c r="H229" i="80" s="1"/>
  <c r="H221" i="80"/>
  <c r="H216" i="80"/>
  <c r="H228" i="80" s="1"/>
  <c r="AA156" i="41"/>
  <c r="AA158" i="41" s="1"/>
  <c r="AD156" i="41"/>
  <c r="AD158" i="41" s="1"/>
  <c r="AF156" i="41"/>
  <c r="AF158" i="41" s="1"/>
  <c r="AC156" i="41"/>
  <c r="AC158" i="41" s="1"/>
  <c r="P156" i="41"/>
  <c r="P158" i="41" s="1"/>
  <c r="S156" i="41"/>
  <c r="S158" i="41" s="1"/>
  <c r="T156" i="41"/>
  <c r="T158" i="41" s="1"/>
  <c r="X156" i="41"/>
  <c r="X158" i="41" s="1"/>
  <c r="Z156" i="41"/>
  <c r="Z158" i="41" s="1"/>
  <c r="AO156" i="41"/>
  <c r="AO158" i="41" s="1"/>
  <c r="AK156" i="41"/>
  <c r="AK158" i="41" s="1"/>
  <c r="Q156" i="41"/>
  <c r="Q158" i="41" s="1"/>
  <c r="AL156" i="41"/>
  <c r="AL158" i="41" s="1"/>
  <c r="AN156" i="41"/>
  <c r="AN158" i="41" s="1"/>
  <c r="AJ156" i="41"/>
  <c r="AJ158" i="41" s="1"/>
  <c r="AB156" i="41"/>
  <c r="AB158" i="41" s="1"/>
  <c r="L156" i="41"/>
  <c r="L158" i="41" s="1"/>
  <c r="J156" i="41"/>
  <c r="J158" i="41" s="1"/>
  <c r="AM156" i="41"/>
  <c r="AM158" i="41" s="1"/>
  <c r="AI156" i="41"/>
  <c r="AI158" i="41" s="1"/>
  <c r="W156" i="41"/>
  <c r="W158" i="41" s="1"/>
  <c r="K156" i="41"/>
  <c r="K158" i="41" s="1"/>
  <c r="AH156" i="41"/>
  <c r="AH158" i="41" s="1"/>
  <c r="R156" i="41"/>
  <c r="R158" i="41" s="1"/>
  <c r="Y156" i="41"/>
  <c r="Y158" i="41" s="1"/>
  <c r="V156" i="41"/>
  <c r="V158" i="41" s="1"/>
  <c r="AG156" i="41"/>
  <c r="AG158" i="41" s="1"/>
  <c r="AE156" i="41"/>
  <c r="AE158" i="41" s="1"/>
  <c r="O156" i="41"/>
  <c r="O158" i="41" s="1"/>
  <c r="M156" i="41"/>
  <c r="M158" i="41" s="1"/>
  <c r="N156" i="41"/>
  <c r="N158" i="41" s="1"/>
  <c r="U156" i="41"/>
  <c r="U158" i="41" s="1"/>
  <c r="M299" i="53"/>
  <c r="M111" i="83" s="1"/>
  <c r="M216" i="83" s="1"/>
  <c r="M88" i="71" s="1"/>
  <c r="M193" i="71" s="1"/>
  <c r="L274" i="53"/>
  <c r="L84" i="83" s="1"/>
  <c r="L155" i="83" s="1"/>
  <c r="L25" i="71" s="1"/>
  <c r="L130" i="71" s="1"/>
  <c r="L300" i="53"/>
  <c r="L112" i="83" s="1"/>
  <c r="L217" i="83" s="1"/>
  <c r="L89" i="71" s="1"/>
  <c r="L194" i="71" s="1"/>
  <c r="M274" i="53"/>
  <c r="L290" i="53"/>
  <c r="L101" i="83" s="1"/>
  <c r="L189" i="83" s="1"/>
  <c r="L60" i="71" s="1"/>
  <c r="L165" i="71" s="1"/>
  <c r="M277" i="53"/>
  <c r="M75" i="80" s="1"/>
  <c r="M87" i="80" s="1"/>
  <c r="L273" i="53"/>
  <c r="M288" i="53"/>
  <c r="M99" i="83" s="1"/>
  <c r="M187" i="83" s="1"/>
  <c r="M58" i="71" s="1"/>
  <c r="M163" i="71" s="1"/>
  <c r="M302" i="53"/>
  <c r="L275" i="53"/>
  <c r="L291" i="53"/>
  <c r="L102" i="83" s="1"/>
  <c r="L190" i="83" s="1"/>
  <c r="L61" i="71" s="1"/>
  <c r="L166" i="71" s="1"/>
  <c r="L272" i="53"/>
  <c r="L81" i="83" s="1"/>
  <c r="L152" i="83" s="1"/>
  <c r="L284" i="53"/>
  <c r="M294" i="53"/>
  <c r="M283" i="53"/>
  <c r="M291" i="53"/>
  <c r="M276" i="53"/>
  <c r="L276" i="53"/>
  <c r="L74" i="80" s="1"/>
  <c r="L86" i="80" s="1"/>
  <c r="L296" i="53"/>
  <c r="L297" i="53"/>
  <c r="L119" i="80" s="1"/>
  <c r="L131" i="80" s="1"/>
  <c r="M298" i="53"/>
  <c r="M297" i="53"/>
  <c r="M300" i="53"/>
  <c r="L283" i="53"/>
  <c r="L93" i="83" s="1"/>
  <c r="L181" i="83" s="1"/>
  <c r="L285" i="53"/>
  <c r="L96" i="83" s="1"/>
  <c r="L184" i="83" s="1"/>
  <c r="L55" i="71" s="1"/>
  <c r="L160" i="71" s="1"/>
  <c r="L289" i="53"/>
  <c r="L100" i="83" s="1"/>
  <c r="L188" i="83" s="1"/>
  <c r="L59" i="71" s="1"/>
  <c r="L164" i="71" s="1"/>
  <c r="M301" i="53"/>
  <c r="M285" i="53"/>
  <c r="M284" i="53"/>
  <c r="M280" i="53"/>
  <c r="M296" i="53"/>
  <c r="M272" i="53"/>
  <c r="L301" i="53"/>
  <c r="L113" i="83" s="1"/>
  <c r="L218" i="83" s="1"/>
  <c r="L90" i="71" s="1"/>
  <c r="L195" i="71" s="1"/>
  <c r="L298" i="53"/>
  <c r="L110" i="83" s="1"/>
  <c r="L215" i="83" s="1"/>
  <c r="L87" i="71" s="1"/>
  <c r="L192" i="71" s="1"/>
  <c r="L288" i="53"/>
  <c r="L98" i="80" s="1"/>
  <c r="L110" i="80" s="1"/>
  <c r="L277" i="53"/>
  <c r="L87" i="83" s="1"/>
  <c r="L158" i="83" s="1"/>
  <c r="L28" i="71" s="1"/>
  <c r="L133" i="71" s="1"/>
  <c r="L302" i="53"/>
  <c r="L114" i="83" s="1"/>
  <c r="L219" i="83" s="1"/>
  <c r="L91" i="71" s="1"/>
  <c r="L196" i="71" s="1"/>
  <c r="L294" i="53"/>
  <c r="L116" i="80" s="1"/>
  <c r="L128" i="80" s="1"/>
  <c r="L295" i="53"/>
  <c r="L107" i="83" s="1"/>
  <c r="L212" i="83" s="1"/>
  <c r="L84" i="71" s="1"/>
  <c r="L189" i="71" s="1"/>
  <c r="M275" i="53"/>
  <c r="M278" i="53"/>
  <c r="M273" i="53"/>
  <c r="M295" i="53"/>
  <c r="M290" i="53"/>
  <c r="M289" i="53"/>
  <c r="M287" i="53"/>
  <c r="L286" i="53"/>
  <c r="L280" i="53"/>
  <c r="L90" i="83" s="1"/>
  <c r="L161" i="83" s="1"/>
  <c r="L31" i="71" s="1"/>
  <c r="L136" i="71" s="1"/>
  <c r="L287" i="53"/>
  <c r="L98" i="83" s="1"/>
  <c r="L186" i="83" s="1"/>
  <c r="L57" i="71" s="1"/>
  <c r="L162" i="71" s="1"/>
  <c r="L299" i="53"/>
  <c r="L279" i="53"/>
  <c r="L89" i="83" s="1"/>
  <c r="L160" i="83" s="1"/>
  <c r="L30" i="71" s="1"/>
  <c r="L135" i="71" s="1"/>
  <c r="M286" i="53"/>
  <c r="P295" i="53"/>
  <c r="P107" i="83" s="1"/>
  <c r="P212" i="83" s="1"/>
  <c r="P84" i="71" s="1"/>
  <c r="P285" i="53"/>
  <c r="P96" i="83" s="1"/>
  <c r="P184" i="83" s="1"/>
  <c r="P55" i="71" s="1"/>
  <c r="P300" i="53"/>
  <c r="P112" i="83" s="1"/>
  <c r="P217" i="83" s="1"/>
  <c r="P89" i="71" s="1"/>
  <c r="P274" i="53"/>
  <c r="P72" i="80" s="1"/>
  <c r="P84" i="80" s="1"/>
  <c r="P272" i="53"/>
  <c r="P81" i="83" s="1"/>
  <c r="P152" i="83" s="1"/>
  <c r="P22" i="71" s="1"/>
  <c r="P283" i="53"/>
  <c r="P93" i="80" s="1"/>
  <c r="P105" i="80" s="1"/>
  <c r="P301" i="53"/>
  <c r="P123" i="80" s="1"/>
  <c r="P135" i="80" s="1"/>
  <c r="P290" i="53"/>
  <c r="P100" i="80" s="1"/>
  <c r="P112" i="80" s="1"/>
  <c r="P291" i="53"/>
  <c r="P101" i="80" s="1"/>
  <c r="P113" i="80" s="1"/>
  <c r="P299" i="53"/>
  <c r="P111" i="83" s="1"/>
  <c r="P216" i="83" s="1"/>
  <c r="P88" i="71" s="1"/>
  <c r="P275" i="53"/>
  <c r="P85" i="83" s="1"/>
  <c r="P156" i="83" s="1"/>
  <c r="P26" i="71" s="1"/>
  <c r="P297" i="53"/>
  <c r="P109" i="83" s="1"/>
  <c r="P214" i="83" s="1"/>
  <c r="P86" i="71" s="1"/>
  <c r="P284" i="53"/>
  <c r="P94" i="80" s="1"/>
  <c r="P106" i="80" s="1"/>
  <c r="P286" i="53"/>
  <c r="P96" i="80" s="1"/>
  <c r="P108" i="80" s="1"/>
  <c r="P280" i="53"/>
  <c r="P90" i="83" s="1"/>
  <c r="P161" i="83" s="1"/>
  <c r="P31" i="71" s="1"/>
  <c r="P294" i="53"/>
  <c r="P105" i="83" s="1"/>
  <c r="P210" i="83" s="1"/>
  <c r="P82" i="71" s="1"/>
  <c r="P289" i="53"/>
  <c r="P100" i="83" s="1"/>
  <c r="P188" i="83" s="1"/>
  <c r="P59" i="71" s="1"/>
  <c r="P277" i="53"/>
  <c r="P87" i="83" s="1"/>
  <c r="P158" i="83" s="1"/>
  <c r="P28" i="71" s="1"/>
  <c r="P279" i="53"/>
  <c r="P89" i="83" s="1"/>
  <c r="P160" i="83" s="1"/>
  <c r="P30" i="71" s="1"/>
  <c r="P298" i="53"/>
  <c r="P110" i="83" s="1"/>
  <c r="P215" i="83" s="1"/>
  <c r="P87" i="71" s="1"/>
  <c r="P287" i="53"/>
  <c r="P98" i="83" s="1"/>
  <c r="P186" i="83" s="1"/>
  <c r="P57" i="71" s="1"/>
  <c r="P273" i="53"/>
  <c r="P83" i="83" s="1"/>
  <c r="P154" i="83" s="1"/>
  <c r="P24" i="71" s="1"/>
  <c r="P288" i="53"/>
  <c r="P99" i="83" s="1"/>
  <c r="P187" i="83" s="1"/>
  <c r="P58" i="71" s="1"/>
  <c r="O277" i="53"/>
  <c r="O75" i="80" s="1"/>
  <c r="O87" i="80" s="1"/>
  <c r="P302" i="53"/>
  <c r="P114" i="83" s="1"/>
  <c r="P219" i="83" s="1"/>
  <c r="P91" i="71" s="1"/>
  <c r="O289" i="53"/>
  <c r="O99" i="80" s="1"/>
  <c r="O111" i="80" s="1"/>
  <c r="O280" i="53"/>
  <c r="O90" i="83" s="1"/>
  <c r="O161" i="83" s="1"/>
  <c r="O31" i="71" s="1"/>
  <c r="O285" i="53"/>
  <c r="O95" i="80" s="1"/>
  <c r="O107" i="80" s="1"/>
  <c r="P276" i="53"/>
  <c r="P86" i="83" s="1"/>
  <c r="P157" i="83" s="1"/>
  <c r="P27" i="71" s="1"/>
  <c r="P278" i="53"/>
  <c r="P88" i="83" s="1"/>
  <c r="P159" i="83" s="1"/>
  <c r="P29" i="71" s="1"/>
  <c r="O299" i="53"/>
  <c r="O111" i="83" s="1"/>
  <c r="O216" i="83" s="1"/>
  <c r="O88" i="71" s="1"/>
  <c r="O284" i="53"/>
  <c r="O95" i="83" s="1"/>
  <c r="O183" i="83" s="1"/>
  <c r="O54" i="71" s="1"/>
  <c r="O290" i="53"/>
  <c r="O101" i="83" s="1"/>
  <c r="O189" i="83" s="1"/>
  <c r="O60" i="71" s="1"/>
  <c r="O288" i="53"/>
  <c r="O99" i="83" s="1"/>
  <c r="O187" i="83" s="1"/>
  <c r="O58" i="71" s="1"/>
  <c r="O287" i="53"/>
  <c r="O98" i="83" s="1"/>
  <c r="O186" i="83" s="1"/>
  <c r="O57" i="71" s="1"/>
  <c r="O286" i="53"/>
  <c r="O96" i="80" s="1"/>
  <c r="O108" i="80" s="1"/>
  <c r="O294" i="53"/>
  <c r="O116" i="80" s="1"/>
  <c r="O128" i="80" s="1"/>
  <c r="O275" i="53"/>
  <c r="O85" i="83" s="1"/>
  <c r="O156" i="83" s="1"/>
  <c r="O26" i="71" s="1"/>
  <c r="O291" i="53"/>
  <c r="O102" i="83" s="1"/>
  <c r="O190" i="83" s="1"/>
  <c r="O61" i="71"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79" i="53"/>
  <c r="O89" i="83" s="1"/>
  <c r="O160" i="83" s="1"/>
  <c r="O30" i="71" s="1"/>
  <c r="O274" i="53"/>
  <c r="O84" i="83" s="1"/>
  <c r="O155" i="83" s="1"/>
  <c r="O25" i="71" s="1"/>
  <c r="O283" i="53"/>
  <c r="O93" i="83" s="1"/>
  <c r="O181" i="83" s="1"/>
  <c r="O52" i="71" s="1"/>
  <c r="O157" i="71" s="1"/>
  <c r="O123" i="80"/>
  <c r="O135" i="80" s="1"/>
  <c r="O298" i="53"/>
  <c r="O120" i="80" s="1"/>
  <c r="O132" i="80" s="1"/>
  <c r="O273" i="53"/>
  <c r="O83" i="83" s="1"/>
  <c r="O154" i="83" s="1"/>
  <c r="O24" i="71" s="1"/>
  <c r="O302" i="53"/>
  <c r="O114" i="83" s="1"/>
  <c r="O219" i="83" s="1"/>
  <c r="O91" i="71" s="1"/>
  <c r="O300" i="53"/>
  <c r="O122" i="80" s="1"/>
  <c r="O134" i="80" s="1"/>
  <c r="O295" i="53"/>
  <c r="O117" i="80" s="1"/>
  <c r="O129" i="80" s="1"/>
  <c r="O297" i="53"/>
  <c r="O119" i="80" s="1"/>
  <c r="O131" i="80" s="1"/>
  <c r="O278" i="53"/>
  <c r="O88" i="83" s="1"/>
  <c r="O159" i="83" s="1"/>
  <c r="O29" i="71" s="1"/>
  <c r="O296" i="53"/>
  <c r="O108" i="83" s="1"/>
  <c r="O213" i="83" s="1"/>
  <c r="O85" i="71" s="1"/>
  <c r="O276" i="53"/>
  <c r="O86" i="83" s="1"/>
  <c r="O157" i="83" s="1"/>
  <c r="O2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P108" i="83"/>
  <c r="P213" i="83" s="1"/>
  <c r="P85" i="71" s="1"/>
  <c r="P118" i="80"/>
  <c r="P130" i="80" s="1"/>
  <c r="H233" i="80"/>
  <c r="H231" i="80"/>
  <c r="H232" i="80"/>
  <c r="H230" i="80"/>
  <c r="H227" i="80"/>
  <c r="H226" i="80"/>
  <c r="R148" i="80"/>
  <c r="R174" i="80" s="1"/>
  <c r="S144" i="80"/>
  <c r="S170" i="80" s="1"/>
  <c r="R142" i="80"/>
  <c r="R168" i="80" s="1"/>
  <c r="J43" i="55"/>
  <c r="A4" i="31"/>
  <c r="S143" i="80"/>
  <c r="S169" i="80" s="1"/>
  <c r="S150" i="80"/>
  <c r="S208" i="80" s="1"/>
  <c r="R146" i="80"/>
  <c r="R172" i="80" s="1"/>
  <c r="S142" i="80"/>
  <c r="S168" i="80" s="1"/>
  <c r="S22" i="7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R193" i="71"/>
  <c r="R165" i="71"/>
  <c r="R160" i="71"/>
  <c r="R195" i="71"/>
  <c r="R194" i="71"/>
  <c r="R188" i="71"/>
  <c r="R164" i="71"/>
  <c r="R136" i="71"/>
  <c r="R161" i="71"/>
  <c r="R132" i="71"/>
  <c r="R159" i="71"/>
  <c r="R187" i="71"/>
  <c r="R128" i="71"/>
  <c r="R131" i="71"/>
  <c r="R162" i="71"/>
  <c r="R189" i="71"/>
  <c r="R163" i="71"/>
  <c r="R129" i="71"/>
  <c r="R134" i="71"/>
  <c r="R133" i="71"/>
  <c r="R158" i="71"/>
  <c r="R190" i="71"/>
  <c r="R192" i="71"/>
  <c r="R166" i="71"/>
  <c r="R135" i="71"/>
  <c r="R196" i="71"/>
  <c r="R191" i="71"/>
  <c r="R157" i="71"/>
  <c r="R130" i="71"/>
  <c r="P102" i="83" l="1"/>
  <c r="P190" i="83" s="1"/>
  <c r="P61" i="71" s="1"/>
  <c r="M121" i="80"/>
  <c r="M133" i="80" s="1"/>
  <c r="L93" i="80"/>
  <c r="L105" i="80" s="1"/>
  <c r="L75" i="80"/>
  <c r="L87" i="80" s="1"/>
  <c r="L72" i="80"/>
  <c r="L84" i="80" s="1"/>
  <c r="M87" i="83"/>
  <c r="M158" i="83" s="1"/>
  <c r="M28" i="71" s="1"/>
  <c r="M133" i="71" s="1"/>
  <c r="K56" i="82" a="1"/>
  <c r="M98" i="80"/>
  <c r="M110" i="80" s="1"/>
  <c r="L109" i="83"/>
  <c r="L214" i="83" s="1"/>
  <c r="L86" i="71" s="1"/>
  <c r="L191" i="71" s="1"/>
  <c r="L99" i="80"/>
  <c r="L111" i="80" s="1"/>
  <c r="L101" i="80"/>
  <c r="L113" i="80" s="1"/>
  <c r="L120" i="80"/>
  <c r="L132" i="80" s="1"/>
  <c r="L123" i="80"/>
  <c r="L135" i="80" s="1"/>
  <c r="P95" i="80"/>
  <c r="P107" i="80" s="1"/>
  <c r="P144" i="80" s="1"/>
  <c r="P170" i="80" s="1"/>
  <c r="L124" i="80"/>
  <c r="L136" i="80" s="1"/>
  <c r="P117" i="80"/>
  <c r="P129" i="80" s="1"/>
  <c r="L94" i="83"/>
  <c r="L182" i="83" s="1"/>
  <c r="L53" i="71" s="1"/>
  <c r="L158" i="71" s="1"/>
  <c r="P82" i="83"/>
  <c r="P153" i="83" s="1"/>
  <c r="P23" i="71" s="1"/>
  <c r="P128" i="71" s="1"/>
  <c r="L117" i="80"/>
  <c r="L129" i="80" s="1"/>
  <c r="P98" i="80"/>
  <c r="P110" i="80" s="1"/>
  <c r="P94" i="83"/>
  <c r="P182" i="83" s="1"/>
  <c r="P53" i="71" s="1"/>
  <c r="P158" i="71" s="1"/>
  <c r="P120" i="80"/>
  <c r="P132" i="80" s="1"/>
  <c r="P73" i="80"/>
  <c r="P85" i="80" s="1"/>
  <c r="P78" i="80"/>
  <c r="P90" i="80" s="1"/>
  <c r="P84" i="83"/>
  <c r="P155" i="83" s="1"/>
  <c r="P25" i="71" s="1"/>
  <c r="P130" i="71" s="1"/>
  <c r="P113" i="83"/>
  <c r="P218" i="83" s="1"/>
  <c r="P90" i="71" s="1"/>
  <c r="P106" i="83"/>
  <c r="P211" i="83" s="1"/>
  <c r="P83" i="71" s="1"/>
  <c r="P188" i="71" s="1"/>
  <c r="P77" i="80"/>
  <c r="P89" i="80" s="1"/>
  <c r="P149" i="80" s="1"/>
  <c r="P175" i="80" s="1"/>
  <c r="P122" i="80"/>
  <c r="P134" i="80" s="1"/>
  <c r="P101" i="83"/>
  <c r="P189" i="83" s="1"/>
  <c r="P60" i="71" s="1"/>
  <c r="P165" i="71" s="1"/>
  <c r="P116" i="80"/>
  <c r="P128" i="80" s="1"/>
  <c r="P70" i="80"/>
  <c r="P82" i="80" s="1"/>
  <c r="P71" i="80"/>
  <c r="P83" i="80" s="1"/>
  <c r="P95" i="83"/>
  <c r="P183" i="83" s="1"/>
  <c r="P54" i="71" s="1"/>
  <c r="P159" i="71" s="1"/>
  <c r="P93" i="83"/>
  <c r="P181" i="83" s="1"/>
  <c r="P52" i="71" s="1"/>
  <c r="P157" i="71" s="1"/>
  <c r="O97" i="80"/>
  <c r="O109" i="80" s="1"/>
  <c r="P75" i="80"/>
  <c r="P87" i="80" s="1"/>
  <c r="P97" i="83"/>
  <c r="P185" i="83" s="1"/>
  <c r="P56" i="71" s="1"/>
  <c r="P161" i="71" s="1"/>
  <c r="O78" i="80"/>
  <c r="O90" i="80" s="1"/>
  <c r="P121" i="80"/>
  <c r="P133" i="80" s="1"/>
  <c r="P99" i="80"/>
  <c r="P111" i="80" s="1"/>
  <c r="P119" i="80"/>
  <c r="P131" i="80" s="1"/>
  <c r="P97" i="80"/>
  <c r="P109" i="80" s="1"/>
  <c r="P124" i="80"/>
  <c r="P136" i="80" s="1"/>
  <c r="O106" i="83"/>
  <c r="O211" i="83" s="1"/>
  <c r="O83" i="71" s="1"/>
  <c r="O188" i="71" s="1"/>
  <c r="O96" i="83"/>
  <c r="O184" i="83" s="1"/>
  <c r="O55" i="71" s="1"/>
  <c r="O160" i="71" s="1"/>
  <c r="O87" i="83"/>
  <c r="O158" i="83" s="1"/>
  <c r="O28" i="71" s="1"/>
  <c r="O100" i="80"/>
  <c r="O112" i="80" s="1"/>
  <c r="O105" i="83"/>
  <c r="O210" i="83" s="1"/>
  <c r="O82" i="71" s="1"/>
  <c r="O70" i="80"/>
  <c r="O82" i="80" s="1"/>
  <c r="P74" i="80"/>
  <c r="P86" i="80" s="1"/>
  <c r="P76" i="80"/>
  <c r="P88" i="80" s="1"/>
  <c r="O100" i="83"/>
  <c r="O188" i="83" s="1"/>
  <c r="O59" i="71" s="1"/>
  <c r="O98" i="80"/>
  <c r="O110" i="80" s="1"/>
  <c r="O121" i="80"/>
  <c r="O133" i="80" s="1"/>
  <c r="O72" i="80"/>
  <c r="O84" i="80" s="1"/>
  <c r="O94" i="80"/>
  <c r="O106" i="80" s="1"/>
  <c r="O110" i="83"/>
  <c r="O215" i="83" s="1"/>
  <c r="O87" i="71" s="1"/>
  <c r="O73" i="80"/>
  <c r="O85" i="80" s="1"/>
  <c r="O145" i="80" s="1"/>
  <c r="O171" i="80" s="1"/>
  <c r="O101" i="80"/>
  <c r="O113" i="80" s="1"/>
  <c r="O97" i="83"/>
  <c r="O185" i="83" s="1"/>
  <c r="O56" i="71" s="1"/>
  <c r="O161" i="71" s="1"/>
  <c r="O93" i="80"/>
  <c r="O105" i="80" s="1"/>
  <c r="O77" i="80"/>
  <c r="O89" i="80" s="1"/>
  <c r="O112" i="83"/>
  <c r="O217" i="83" s="1"/>
  <c r="O89" i="71" s="1"/>
  <c r="O81" i="83"/>
  <c r="O152" i="83" s="1"/>
  <c r="O22" i="71" s="1"/>
  <c r="O127" i="71" s="1"/>
  <c r="O94" i="83"/>
  <c r="O182" i="83" s="1"/>
  <c r="O53" i="71" s="1"/>
  <c r="O158" i="71" s="1"/>
  <c r="O118" i="80"/>
  <c r="O130" i="80" s="1"/>
  <c r="O71" i="80"/>
  <c r="O83" i="80" s="1"/>
  <c r="O124" i="80"/>
  <c r="O136" i="80" s="1"/>
  <c r="O76" i="80"/>
  <c r="O88" i="80" s="1"/>
  <c r="O148" i="80" s="1"/>
  <c r="O174" i="80" s="1"/>
  <c r="O107" i="83"/>
  <c r="O212" i="83" s="1"/>
  <c r="O84" i="71" s="1"/>
  <c r="O109" i="83"/>
  <c r="O214" i="83" s="1"/>
  <c r="O86" i="71" s="1"/>
  <c r="O191" i="71" s="1"/>
  <c r="O74" i="80"/>
  <c r="O86" i="80" s="1"/>
  <c r="L22" i="71"/>
  <c r="L127" i="71" s="1"/>
  <c r="L95" i="80"/>
  <c r="L107" i="80" s="1"/>
  <c r="L99" i="83"/>
  <c r="L187" i="83" s="1"/>
  <c r="L58" i="71" s="1"/>
  <c r="L163" i="71" s="1"/>
  <c r="L78" i="80"/>
  <c r="L90" i="80" s="1"/>
  <c r="L86" i="83"/>
  <c r="L157" i="83" s="1"/>
  <c r="L27" i="71" s="1"/>
  <c r="L132"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97" i="80"/>
  <c r="L109" i="80" s="1"/>
  <c r="L77" i="80"/>
  <c r="L89" i="80" s="1"/>
  <c r="L122" i="80"/>
  <c r="L134" i="80" s="1"/>
  <c r="Q150" i="80"/>
  <c r="Q208" i="80" s="1"/>
  <c r="L70" i="80"/>
  <c r="L82"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M100" i="83"/>
  <c r="M188" i="83" s="1"/>
  <c r="M59" i="71" s="1"/>
  <c r="M164" i="71" s="1"/>
  <c r="M99" i="80"/>
  <c r="M111" i="80" s="1"/>
  <c r="M95" i="83"/>
  <c r="M183" i="83" s="1"/>
  <c r="M54" i="71" s="1"/>
  <c r="M159" i="71" s="1"/>
  <c r="M94" i="80"/>
  <c r="M106" i="80" s="1"/>
  <c r="M86" i="83"/>
  <c r="M157" i="83" s="1"/>
  <c r="M27" i="71" s="1"/>
  <c r="M132" i="71" s="1"/>
  <c r="M74" i="80"/>
  <c r="M86" i="80" s="1"/>
  <c r="M97" i="83"/>
  <c r="M185" i="83" s="1"/>
  <c r="M56" i="71" s="1"/>
  <c r="M161" i="71" s="1"/>
  <c r="M96" i="80"/>
  <c r="M108" i="80" s="1"/>
  <c r="L83" i="83"/>
  <c r="L154" i="83" s="1"/>
  <c r="L24" i="71" s="1"/>
  <c r="L129" i="71" s="1"/>
  <c r="L71" i="80"/>
  <c r="L83" i="80" s="1"/>
  <c r="M114" i="83"/>
  <c r="M219" i="83" s="1"/>
  <c r="M91" i="71" s="1"/>
  <c r="M196" i="71" s="1"/>
  <c r="M124" i="80"/>
  <c r="M136" i="80" s="1"/>
  <c r="M108" i="83"/>
  <c r="M213" i="83" s="1"/>
  <c r="M85" i="71" s="1"/>
  <c r="M190" i="71" s="1"/>
  <c r="M118" i="80"/>
  <c r="M130" i="80" s="1"/>
  <c r="L111" i="83"/>
  <c r="L216" i="83" s="1"/>
  <c r="L88" i="71" s="1"/>
  <c r="L193" i="71" s="1"/>
  <c r="L121" i="80"/>
  <c r="L133" i="80" s="1"/>
  <c r="Q146" i="80"/>
  <c r="Q172" i="80" s="1"/>
  <c r="Q144" i="80"/>
  <c r="Q170" i="80" s="1"/>
  <c r="M112" i="83"/>
  <c r="M217" i="83" s="1"/>
  <c r="M89" i="71" s="1"/>
  <c r="M194" i="71" s="1"/>
  <c r="M122" i="80"/>
  <c r="M134" i="80" s="1"/>
  <c r="L95" i="83"/>
  <c r="L183" i="83" s="1"/>
  <c r="L54" i="71" s="1"/>
  <c r="L159" i="71" s="1"/>
  <c r="L94" i="80"/>
  <c r="L106" i="80" s="1"/>
  <c r="M113" i="83"/>
  <c r="M218" i="83" s="1"/>
  <c r="M90" i="71" s="1"/>
  <c r="M195" i="71" s="1"/>
  <c r="M123" i="80"/>
  <c r="M135" i="80" s="1"/>
  <c r="M109" i="83"/>
  <c r="M214" i="83" s="1"/>
  <c r="M86" i="71" s="1"/>
  <c r="M191" i="71" s="1"/>
  <c r="M119" i="80"/>
  <c r="M131" i="80" s="1"/>
  <c r="L88" i="83"/>
  <c r="L159" i="83" s="1"/>
  <c r="L29" i="71" s="1"/>
  <c r="L134" i="71" s="1"/>
  <c r="L76" i="80"/>
  <c r="L88" i="80" s="1"/>
  <c r="M90" i="83"/>
  <c r="M161" i="83" s="1"/>
  <c r="M31" i="71" s="1"/>
  <c r="M136" i="71" s="1"/>
  <c r="M78" i="80"/>
  <c r="M90" i="80" s="1"/>
  <c r="M106" i="83"/>
  <c r="M211" i="83" s="1"/>
  <c r="M83" i="71" s="1"/>
  <c r="M188" i="71" s="1"/>
  <c r="M105" i="83"/>
  <c r="M210" i="83" s="1"/>
  <c r="M116" i="80"/>
  <c r="M128" i="80" s="1"/>
  <c r="Q143" i="80"/>
  <c r="Q169" i="80" s="1"/>
  <c r="Q142" i="80"/>
  <c r="Q168" i="80" s="1"/>
  <c r="M107" i="83"/>
  <c r="M212" i="83" s="1"/>
  <c r="M84" i="71" s="1"/>
  <c r="M189" i="71" s="1"/>
  <c r="M117" i="80"/>
  <c r="M129"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M84" i="83"/>
  <c r="M155" i="83" s="1"/>
  <c r="M25" i="71" s="1"/>
  <c r="M130" i="71" s="1"/>
  <c r="M72" i="80"/>
  <c r="M84" i="80" s="1"/>
  <c r="M93" i="83"/>
  <c r="M181" i="83" s="1"/>
  <c r="M94" i="83"/>
  <c r="M182" i="83" s="1"/>
  <c r="M53" i="71" s="1"/>
  <c r="M158" i="71" s="1"/>
  <c r="M93" i="80"/>
  <c r="M105" i="80" s="1"/>
  <c r="Q149" i="80"/>
  <c r="Q175" i="80" s="1"/>
  <c r="S127" i="71"/>
  <c r="M88" i="83"/>
  <c r="M159" i="83" s="1"/>
  <c r="M29" i="71" s="1"/>
  <c r="M134" i="71" s="1"/>
  <c r="M76" i="80"/>
  <c r="M88" i="80" s="1"/>
  <c r="M83" i="83"/>
  <c r="M154" i="83" s="1"/>
  <c r="M24" i="71" s="1"/>
  <c r="M129" i="71" s="1"/>
  <c r="M71" i="80"/>
  <c r="M83" i="80" s="1"/>
  <c r="M98" i="83"/>
  <c r="M186" i="83" s="1"/>
  <c r="M57" i="71" s="1"/>
  <c r="M162" i="71" s="1"/>
  <c r="M97" i="80"/>
  <c r="M109" i="80" s="1"/>
  <c r="M101" i="83"/>
  <c r="M189" i="83" s="1"/>
  <c r="M60" i="71" s="1"/>
  <c r="M165" i="71" s="1"/>
  <c r="M100" i="80"/>
  <c r="M112" i="80" s="1"/>
  <c r="L108" i="83"/>
  <c r="L213" i="83" s="1"/>
  <c r="L85" i="71" s="1"/>
  <c r="L190" i="71" s="1"/>
  <c r="L118" i="80"/>
  <c r="L130" i="80" s="1"/>
  <c r="M102" i="83"/>
  <c r="M190" i="83" s="1"/>
  <c r="M61" i="71" s="1"/>
  <c r="M166" i="71" s="1"/>
  <c r="M101" i="80"/>
  <c r="M113" i="80" s="1"/>
  <c r="M96" i="83"/>
  <c r="M184" i="83" s="1"/>
  <c r="M55" i="71" s="1"/>
  <c r="M160" i="71" s="1"/>
  <c r="M95" i="80"/>
  <c r="M107" i="80" s="1"/>
  <c r="M82" i="83"/>
  <c r="M153" i="83" s="1"/>
  <c r="M23" i="71" s="1"/>
  <c r="M128" i="71" s="1"/>
  <c r="M81" i="83"/>
  <c r="M152" i="83" s="1"/>
  <c r="M70" i="80"/>
  <c r="M82" i="80" s="1"/>
  <c r="Q148" i="80"/>
  <c r="Q174" i="80" s="1"/>
  <c r="R176" i="80"/>
  <c r="R177" i="80" s="1"/>
  <c r="R208" i="80"/>
  <c r="P135" i="71"/>
  <c r="P160" i="71"/>
  <c r="P133" i="71"/>
  <c r="P191" i="71"/>
  <c r="O190" i="71"/>
  <c r="P189" i="71"/>
  <c r="O159" i="71"/>
  <c r="P129" i="71"/>
  <c r="P163" i="71"/>
  <c r="O130" i="71"/>
  <c r="O162" i="71"/>
  <c r="O128" i="71"/>
  <c r="P193" i="71"/>
  <c r="O131" i="71"/>
  <c r="P190" i="71"/>
  <c r="O163" i="71"/>
  <c r="O136" i="71"/>
  <c r="O196" i="71"/>
  <c r="P131" i="71"/>
  <c r="P162" i="71"/>
  <c r="O135" i="71"/>
  <c r="L147" i="80" l="1"/>
  <c r="L173" i="80" s="1"/>
  <c r="L274" i="80" s="1"/>
  <c r="L142" i="80"/>
  <c r="L168" i="80" s="1"/>
  <c r="M147" i="80"/>
  <c r="M173" i="80" s="1"/>
  <c r="M274" i="80" s="1"/>
  <c r="K56" i="82"/>
  <c r="N56" i="82"/>
  <c r="M56" i="82"/>
  <c r="L56" i="82"/>
  <c r="O56" i="82"/>
  <c r="P145" i="80"/>
  <c r="P171" i="80" s="1"/>
  <c r="P272" i="80" s="1"/>
  <c r="O149" i="80"/>
  <c r="O175" i="80" s="1"/>
  <c r="O276" i="80" s="1"/>
  <c r="O144" i="80"/>
  <c r="O170" i="80" s="1"/>
  <c r="O271" i="80" s="1"/>
  <c r="L146" i="80"/>
  <c r="L172" i="80" s="1"/>
  <c r="L273" i="80" s="1"/>
  <c r="L150" i="80"/>
  <c r="L208" i="80" s="1"/>
  <c r="P143" i="80"/>
  <c r="P169" i="80" s="1"/>
  <c r="P270" i="80" s="1"/>
  <c r="P146" i="80"/>
  <c r="P172" i="80" s="1"/>
  <c r="P273" i="80" s="1"/>
  <c r="P150" i="80"/>
  <c r="P176" i="80" s="1"/>
  <c r="P142" i="80"/>
  <c r="P168" i="80" s="1"/>
  <c r="P269" i="80" s="1"/>
  <c r="O146" i="80"/>
  <c r="O172" i="80" s="1"/>
  <c r="O273" i="80" s="1"/>
  <c r="P147" i="80"/>
  <c r="P173" i="80" s="1"/>
  <c r="P274" i="80" s="1"/>
  <c r="O142" i="80"/>
  <c r="O168" i="80" s="1"/>
  <c r="O269" i="80" s="1"/>
  <c r="P148" i="80"/>
  <c r="P174" i="80" s="1"/>
  <c r="P275" i="80" s="1"/>
  <c r="O147" i="80"/>
  <c r="O173" i="80" s="1"/>
  <c r="O274" i="80" s="1"/>
  <c r="O143" i="80"/>
  <c r="O169" i="80" s="1"/>
  <c r="O270" i="80" s="1"/>
  <c r="O150" i="80"/>
  <c r="O208" i="80" s="1"/>
  <c r="Y272" i="80"/>
  <c r="U276" i="80"/>
  <c r="W274" i="80"/>
  <c r="M22" i="71"/>
  <c r="M127" i="71" s="1"/>
  <c r="L144" i="80"/>
  <c r="L170" i="80" s="1"/>
  <c r="L271" i="80" s="1"/>
  <c r="X272" i="80"/>
  <c r="U269" i="80"/>
  <c r="S273" i="80"/>
  <c r="L82" i="71"/>
  <c r="L187" i="71" s="1"/>
  <c r="S269" i="80"/>
  <c r="Q273" i="80"/>
  <c r="S271" i="80"/>
  <c r="R275" i="80"/>
  <c r="T275" i="80"/>
  <c r="R272" i="80"/>
  <c r="U270" i="80"/>
  <c r="R274" i="80"/>
  <c r="V272" i="80"/>
  <c r="R270" i="80"/>
  <c r="T274" i="80"/>
  <c r="R271" i="80"/>
  <c r="M142" i="80"/>
  <c r="M168" i="80" s="1"/>
  <c r="L149" i="80"/>
  <c r="L175" i="80" s="1"/>
  <c r="L276" i="80" s="1"/>
  <c r="Y270" i="80"/>
  <c r="W273" i="80"/>
  <c r="X276" i="80"/>
  <c r="R269" i="80"/>
  <c r="R276" i="80"/>
  <c r="S270" i="80"/>
  <c r="Q275" i="80"/>
  <c r="Y276" i="80"/>
  <c r="Y273" i="80"/>
  <c r="W269" i="80"/>
  <c r="S274" i="80"/>
  <c r="S275" i="80"/>
  <c r="S276" i="80"/>
  <c r="T273" i="80"/>
  <c r="R273" i="80"/>
  <c r="X269" i="80"/>
  <c r="U272" i="80"/>
  <c r="Q271" i="80"/>
  <c r="W272" i="80"/>
  <c r="S272" i="80"/>
  <c r="W270"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Q270" i="80"/>
  <c r="Q176" i="80"/>
  <c r="Q177" i="80" s="1"/>
  <c r="Q274" i="80"/>
  <c r="P276" i="80"/>
  <c r="W276" i="80"/>
  <c r="V276" i="80"/>
  <c r="T276" i="80"/>
  <c r="V273" i="80"/>
  <c r="X273" i="80"/>
  <c r="V269" i="80"/>
  <c r="Y269" i="80"/>
  <c r="O275" i="80"/>
  <c r="Y275" i="80"/>
  <c r="W275" i="80"/>
  <c r="X275"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V271" i="80"/>
  <c r="U271" i="80"/>
  <c r="X270"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U273" i="80"/>
  <c r="T269" i="80"/>
  <c r="U275" i="80"/>
  <c r="O272" i="80"/>
  <c r="T270"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L148" i="80"/>
  <c r="L174" i="80" s="1"/>
  <c r="L275" i="80" s="1"/>
  <c r="M145" i="80"/>
  <c r="M171" i="80" s="1"/>
  <c r="M272" i="80" s="1"/>
  <c r="M148" i="80"/>
  <c r="M174" i="80" s="1"/>
  <c r="M275" i="80" s="1"/>
  <c r="M52" i="71"/>
  <c r="M157" i="71" s="1"/>
  <c r="M82" i="71"/>
  <c r="M187" i="71" s="1"/>
  <c r="O187" i="71"/>
  <c r="P127" i="71"/>
  <c r="M143" i="80"/>
  <c r="M169" i="80" s="1"/>
  <c r="M270" i="80" s="1"/>
  <c r="P187" i="71"/>
  <c r="Q269" i="80"/>
  <c r="L145" i="80"/>
  <c r="L171" i="80" s="1"/>
  <c r="L272" i="80" s="1"/>
  <c r="M149" i="80"/>
  <c r="M175" i="80" s="1"/>
  <c r="M276" i="80" s="1"/>
  <c r="M144" i="80"/>
  <c r="M170" i="80" s="1"/>
  <c r="M271" i="80" s="1"/>
  <c r="L143" i="80"/>
  <c r="L169" i="80" s="1"/>
  <c r="L270" i="80" s="1"/>
  <c r="M146" i="80"/>
  <c r="M172" i="80" s="1"/>
  <c r="M273" i="80" s="1"/>
  <c r="M150" i="80"/>
  <c r="O132" i="71"/>
  <c r="P132" i="71"/>
  <c r="O193" i="71"/>
  <c r="O195" i="71"/>
  <c r="O133" i="71"/>
  <c r="O192" i="71"/>
  <c r="O129" i="71"/>
  <c r="O166" i="71"/>
  <c r="P195" i="71"/>
  <c r="P192" i="71"/>
  <c r="O189" i="71"/>
  <c r="O165" i="71"/>
  <c r="L176" i="80" l="1"/>
  <c r="L177" i="80" s="1"/>
  <c r="P208" i="80"/>
  <c r="P177" i="80"/>
  <c r="O176" i="80"/>
  <c r="O177" i="80" s="1"/>
  <c r="M269" i="80"/>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M208" i="80"/>
  <c r="M176" i="80"/>
  <c r="M177" i="80" s="1"/>
  <c r="O134" i="71"/>
  <c r="P194" i="71"/>
  <c r="P196" i="71"/>
  <c r="P166" i="71"/>
  <c r="P134" i="71"/>
  <c r="O164" i="71"/>
  <c r="O194" i="71"/>
  <c r="P164" i="71"/>
  <c r="P136" i="7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38" i="112" l="1"/>
  <c r="H43" i="112" s="1"/>
  <c r="J48" i="112" s="1"/>
  <c r="N39" i="112"/>
  <c r="H44" i="112" s="1"/>
  <c r="N236" i="22"/>
  <c r="N238" i="22" s="1"/>
  <c r="N31" i="53" s="1"/>
  <c r="N40" i="112"/>
  <c r="H45" i="112" s="1"/>
  <c r="J50" i="112" s="1"/>
  <c r="N58" i="80"/>
  <c r="N188" i="80"/>
  <c r="N191" i="80" s="1"/>
  <c r="N192" i="80" s="1"/>
  <c r="N16" i="111"/>
  <c r="N18" i="74"/>
  <c r="N57" i="80"/>
  <c r="N32" i="53"/>
  <c r="J49" i="112" l="1"/>
  <c r="J51" i="112" s="1"/>
  <c r="O49" i="112"/>
  <c r="N49" i="112"/>
  <c r="L49" i="112"/>
  <c r="P49" i="112"/>
  <c r="N264" i="22"/>
  <c r="N17" i="111" s="1"/>
  <c r="N56" i="80"/>
  <c r="N59" i="80" s="1"/>
  <c r="N34" i="53"/>
  <c r="N42" i="53" s="1"/>
  <c r="N48" i="53" s="1"/>
  <c r="N54" i="53" s="1"/>
  <c r="N50" i="112"/>
  <c r="P50" i="112"/>
  <c r="O50" i="112"/>
  <c r="L50" i="112"/>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L51" i="112" l="1"/>
  <c r="L29" i="41" s="1"/>
  <c r="M48" i="41" s="1"/>
  <c r="M47" i="65" s="1"/>
  <c r="M49" i="82" s="1"/>
  <c r="N51" i="112"/>
  <c r="N29" i="41" s="1"/>
  <c r="T48" i="41" s="1"/>
  <c r="T47" i="65" s="1"/>
  <c r="T49" i="82" s="1"/>
  <c r="P51" i="112"/>
  <c r="P55" i="112" s="1"/>
  <c r="O51" i="112"/>
  <c r="O59" i="112" s="1"/>
  <c r="J29" i="41"/>
  <c r="J59" i="112"/>
  <c r="J55" i="112"/>
  <c r="J48" i="41"/>
  <c r="J47" i="65" s="1"/>
  <c r="J49" i="82" s="1"/>
  <c r="N43" i="53"/>
  <c r="N49" i="53" s="1"/>
  <c r="N44" i="53"/>
  <c r="N50" i="53" s="1"/>
  <c r="N69" i="53"/>
  <c r="N71" i="53"/>
  <c r="N73" i="53" s="1"/>
  <c r="N200" i="80"/>
  <c r="U108" i="81"/>
  <c r="T58" i="82" s="1"/>
  <c r="O132" i="74"/>
  <c r="O133" i="74"/>
  <c r="R132" i="74"/>
  <c r="R133" i="74"/>
  <c r="Q132" i="74"/>
  <c r="Q133" i="74"/>
  <c r="K132" i="74"/>
  <c r="K133" i="74"/>
  <c r="T132" i="74"/>
  <c r="T133" i="74"/>
  <c r="V132" i="74"/>
  <c r="V133" i="74"/>
  <c r="P132" i="74"/>
  <c r="P133" i="74"/>
  <c r="W132" i="74"/>
  <c r="W133" i="74"/>
  <c r="M132" i="74"/>
  <c r="M133" i="74"/>
  <c r="S132" i="74"/>
  <c r="S133" i="74"/>
  <c r="T108" i="81"/>
  <c r="S58" i="82" s="1"/>
  <c r="Y132" i="74"/>
  <c r="Y133" i="74"/>
  <c r="X132" i="74"/>
  <c r="X133" i="74"/>
  <c r="N132" i="74"/>
  <c r="N133" i="74"/>
  <c r="U132" i="74"/>
  <c r="U133" i="74"/>
  <c r="P29" i="41" l="1"/>
  <c r="AB48" i="41" s="1"/>
  <c r="AB47" i="65" s="1"/>
  <c r="AB49" i="82" s="1"/>
  <c r="P59" i="112"/>
  <c r="P65" i="112" s="1"/>
  <c r="N55" i="112"/>
  <c r="L59" i="112"/>
  <c r="N59" i="112"/>
  <c r="L55" i="112"/>
  <c r="O55" i="112"/>
  <c r="O65" i="112" s="1"/>
  <c r="O29" i="41"/>
  <c r="AA48" i="41" s="1"/>
  <c r="AA47" i="65" s="1"/>
  <c r="AA49" i="82" s="1"/>
  <c r="J65" i="112"/>
  <c r="U48" i="41"/>
  <c r="U47" i="65" s="1"/>
  <c r="U49" i="82" s="1"/>
  <c r="V48" i="41"/>
  <c r="V47" i="65" s="1"/>
  <c r="V49" i="82" s="1"/>
  <c r="O48" i="41"/>
  <c r="O47" i="65" s="1"/>
  <c r="O49" i="82" s="1"/>
  <c r="R48" i="41"/>
  <c r="R47" i="65" s="1"/>
  <c r="R49" i="82" s="1"/>
  <c r="S48" i="41"/>
  <c r="S47" i="65" s="1"/>
  <c r="S49" i="82" s="1"/>
  <c r="P48" i="41"/>
  <c r="P47" i="65" s="1"/>
  <c r="P49" i="82" s="1"/>
  <c r="N48" i="41"/>
  <c r="N47" i="65" s="1"/>
  <c r="N49" i="82" s="1"/>
  <c r="L48" i="41"/>
  <c r="L47" i="65" s="1"/>
  <c r="L49" i="82" s="1"/>
  <c r="N259" i="80"/>
  <c r="N256" i="80"/>
  <c r="N258" i="80"/>
  <c r="N255" i="80"/>
  <c r="N254" i="80"/>
  <c r="N253" i="80"/>
  <c r="N257" i="80"/>
  <c r="N252" i="80"/>
  <c r="N79" i="53"/>
  <c r="N85" i="53" s="1"/>
  <c r="N77" i="53"/>
  <c r="N83" i="53" s="1"/>
  <c r="N20" i="74"/>
  <c r="N204" i="80"/>
  <c r="N206" i="80" s="1"/>
  <c r="N65" i="112" l="1"/>
  <c r="L65" i="112"/>
  <c r="AF48" i="41"/>
  <c r="AF47" i="65" s="1"/>
  <c r="AF49" i="82" s="1"/>
  <c r="AE48" i="41"/>
  <c r="AE47" i="65" s="1"/>
  <c r="AE49" i="82" s="1"/>
  <c r="AD48" i="41"/>
  <c r="AD47" i="65" s="1"/>
  <c r="AD49" i="82" s="1"/>
  <c r="AC48" i="41"/>
  <c r="AC47" i="65" s="1"/>
  <c r="AC49" i="82" s="1"/>
  <c r="H61" i="112"/>
  <c r="H87" i="105" s="1"/>
  <c r="H130" i="105" s="1"/>
  <c r="Y48" i="41"/>
  <c r="Y47" i="65" s="1"/>
  <c r="Y49" i="82" s="1"/>
  <c r="H57" i="112"/>
  <c r="H86" i="105" s="1"/>
  <c r="H129" i="105" s="1"/>
  <c r="X48" i="41"/>
  <c r="X47" i="65" s="1"/>
  <c r="X49" i="82" s="1"/>
  <c r="W48" i="41"/>
  <c r="W47" i="65" s="1"/>
  <c r="W49" i="82" s="1"/>
  <c r="Z48" i="41"/>
  <c r="Z47" i="65" s="1"/>
  <c r="Z49" i="82" s="1"/>
  <c r="N91" i="53"/>
  <c r="N93" i="53" s="1"/>
  <c r="N278" i="53" s="1"/>
  <c r="N72" i="74"/>
  <c r="N74" i="74"/>
  <c r="N77" i="74"/>
  <c r="N75" i="74"/>
  <c r="N78" i="74"/>
  <c r="N76" i="74"/>
  <c r="N73" i="74"/>
  <c r="H67" i="112" l="1"/>
  <c r="H69" i="112" s="1"/>
  <c r="H71" i="112" a="1"/>
  <c r="H71" i="112" s="1"/>
  <c r="A4" i="112" s="1"/>
  <c r="N267" i="53"/>
  <c r="N78" i="83" s="1"/>
  <c r="N124" i="83" s="1"/>
  <c r="N301" i="53"/>
  <c r="N113" i="83" s="1"/>
  <c r="N218" i="83" s="1"/>
  <c r="N90" i="71" s="1"/>
  <c r="N195" i="71" s="1"/>
  <c r="N286" i="53"/>
  <c r="N97" i="83" s="1"/>
  <c r="N185" i="83" s="1"/>
  <c r="N56" i="71" s="1"/>
  <c r="N161" i="71" s="1"/>
  <c r="N272" i="53"/>
  <c r="N81" i="83" s="1"/>
  <c r="N152" i="83" s="1"/>
  <c r="N275" i="53"/>
  <c r="N85" i="83" s="1"/>
  <c r="N156" i="83" s="1"/>
  <c r="N26" i="71" s="1"/>
  <c r="N131" i="71" s="1"/>
  <c r="N277" i="53"/>
  <c r="N87" i="83" s="1"/>
  <c r="N158" i="83" s="1"/>
  <c r="N28" i="71" s="1"/>
  <c r="N133" i="71" s="1"/>
  <c r="N285" i="53"/>
  <c r="N95" i="80" s="1"/>
  <c r="N107" i="80" s="1"/>
  <c r="N291" i="53"/>
  <c r="N102" i="83" s="1"/>
  <c r="N190" i="83" s="1"/>
  <c r="N61" i="71" s="1"/>
  <c r="N166" i="71" s="1"/>
  <c r="N284" i="53"/>
  <c r="N94" i="80" s="1"/>
  <c r="N106" i="80" s="1"/>
  <c r="N280" i="53"/>
  <c r="N78" i="80" s="1"/>
  <c r="N90" i="80" s="1"/>
  <c r="N295" i="53"/>
  <c r="N117" i="80" s="1"/>
  <c r="N129" i="80" s="1"/>
  <c r="N302" i="53"/>
  <c r="N124" i="80" s="1"/>
  <c r="N136" i="80" s="1"/>
  <c r="N297" i="53"/>
  <c r="N109" i="83" s="1"/>
  <c r="N214" i="83" s="1"/>
  <c r="N86" i="71" s="1"/>
  <c r="N191" i="71" s="1"/>
  <c r="N296" i="53"/>
  <c r="N108" i="83" s="1"/>
  <c r="N213" i="83" s="1"/>
  <c r="N85" i="71" s="1"/>
  <c r="N190" i="71" s="1"/>
  <c r="N294" i="53"/>
  <c r="N116" i="80" s="1"/>
  <c r="N128" i="80" s="1"/>
  <c r="N283" i="53"/>
  <c r="N93" i="83" s="1"/>
  <c r="N181" i="83" s="1"/>
  <c r="N52" i="71" s="1"/>
  <c r="N157" i="71" s="1"/>
  <c r="N273" i="53"/>
  <c r="N71" i="80" s="1"/>
  <c r="N83" i="80" s="1"/>
  <c r="N288" i="53"/>
  <c r="N98" i="80" s="1"/>
  <c r="N110" i="80" s="1"/>
  <c r="N289" i="53"/>
  <c r="N100" i="83" s="1"/>
  <c r="N188" i="83" s="1"/>
  <c r="N59" i="71" s="1"/>
  <c r="N164" i="71" s="1"/>
  <c r="N287" i="53"/>
  <c r="N97" i="80" s="1"/>
  <c r="N109" i="80" s="1"/>
  <c r="N279" i="53"/>
  <c r="N77" i="80" s="1"/>
  <c r="N89" i="80" s="1"/>
  <c r="N300" i="53"/>
  <c r="N122" i="80" s="1"/>
  <c r="N134" i="80" s="1"/>
  <c r="N290" i="53"/>
  <c r="N101" i="83" s="1"/>
  <c r="N189" i="83" s="1"/>
  <c r="N60" i="71" s="1"/>
  <c r="N165" i="71" s="1"/>
  <c r="N299" i="53"/>
  <c r="N121" i="80" s="1"/>
  <c r="N133" i="80" s="1"/>
  <c r="N298" i="53"/>
  <c r="N110" i="83" s="1"/>
  <c r="N215" i="83" s="1"/>
  <c r="N87" i="71" s="1"/>
  <c r="N192" i="71" s="1"/>
  <c r="N276" i="53"/>
  <c r="N86" i="83" s="1"/>
  <c r="N157" i="83" s="1"/>
  <c r="N27" i="71" s="1"/>
  <c r="N132" i="71" s="1"/>
  <c r="N274" i="53"/>
  <c r="N72" i="80" s="1"/>
  <c r="N84" i="80"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N88" i="83"/>
  <c r="N159" i="83" s="1"/>
  <c r="N29" i="71" s="1"/>
  <c r="N134" i="71" s="1"/>
  <c r="N76" i="80"/>
  <c r="N88" i="80"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J56" i="55" l="1"/>
  <c r="N125" i="83"/>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123" i="80"/>
  <c r="N135" i="80" s="1"/>
  <c r="N90" i="83"/>
  <c r="N161" i="83" s="1"/>
  <c r="N31" i="71" s="1"/>
  <c r="N136" i="71" s="1"/>
  <c r="N82" i="83"/>
  <c r="N153" i="83" s="1"/>
  <c r="N23" i="71" s="1"/>
  <c r="N128" i="71" s="1"/>
  <c r="N96" i="83"/>
  <c r="N184" i="83" s="1"/>
  <c r="N55" i="71" s="1"/>
  <c r="N160" i="71" s="1"/>
  <c r="N70" i="80"/>
  <c r="N82" i="80" s="1"/>
  <c r="N96" i="80"/>
  <c r="N108" i="80" s="1"/>
  <c r="N119" i="80"/>
  <c r="N131" i="80" s="1"/>
  <c r="N74" i="80"/>
  <c r="N86" i="80" s="1"/>
  <c r="N95" i="83"/>
  <c r="N183" i="83" s="1"/>
  <c r="N54" i="71" s="1"/>
  <c r="N159" i="71" s="1"/>
  <c r="N73" i="80"/>
  <c r="N85" i="80" s="1"/>
  <c r="N75" i="80"/>
  <c r="N87" i="80" s="1"/>
  <c r="N147" i="80" s="1"/>
  <c r="N114" i="83"/>
  <c r="N219" i="83" s="1"/>
  <c r="N91" i="71" s="1"/>
  <c r="N196" i="71" s="1"/>
  <c r="N101" i="80"/>
  <c r="N113" i="80" s="1"/>
  <c r="N150" i="80" s="1"/>
  <c r="N99" i="83"/>
  <c r="N187" i="83" s="1"/>
  <c r="N58" i="71" s="1"/>
  <c r="N163" i="71" s="1"/>
  <c r="N107" i="83"/>
  <c r="N212" i="83" s="1"/>
  <c r="N84" i="71" s="1"/>
  <c r="N189" i="71" s="1"/>
  <c r="N112" i="83"/>
  <c r="N217" i="83" s="1"/>
  <c r="N89" i="71" s="1"/>
  <c r="N194" i="71" s="1"/>
  <c r="N106" i="83"/>
  <c r="N211" i="83" s="1"/>
  <c r="N83" i="71" s="1"/>
  <c r="N188" i="71" s="1"/>
  <c r="N105" i="83"/>
  <c r="N210" i="83" s="1"/>
  <c r="N82" i="71" s="1"/>
  <c r="N187" i="71" s="1"/>
  <c r="N100" i="80"/>
  <c r="N112" i="80" s="1"/>
  <c r="N118" i="80"/>
  <c r="N130" i="80" s="1"/>
  <c r="N144" i="80" s="1"/>
  <c r="N84" i="83"/>
  <c r="N155" i="83" s="1"/>
  <c r="N25" i="71" s="1"/>
  <c r="N130" i="71" s="1"/>
  <c r="N99" i="80"/>
  <c r="N111" i="80" s="1"/>
  <c r="N148" i="80" s="1"/>
  <c r="N98" i="83"/>
  <c r="N186" i="83" s="1"/>
  <c r="N57" i="71" s="1"/>
  <c r="N162" i="71" s="1"/>
  <c r="N111" i="83"/>
  <c r="N216" i="83" s="1"/>
  <c r="N88" i="71" s="1"/>
  <c r="N193" i="71" s="1"/>
  <c r="N83" i="83"/>
  <c r="N154" i="83" s="1"/>
  <c r="N24" i="71" s="1"/>
  <c r="N129" i="71" s="1"/>
  <c r="N94" i="83"/>
  <c r="N182" i="83" s="1"/>
  <c r="N53" i="71" s="1"/>
  <c r="N158" i="71" s="1"/>
  <c r="N93" i="80"/>
  <c r="N105" i="80" s="1"/>
  <c r="N89" i="83"/>
  <c r="N160" i="83" s="1"/>
  <c r="N30" i="71" s="1"/>
  <c r="N135" i="71" s="1"/>
  <c r="N120" i="80"/>
  <c r="N132" i="80" s="1"/>
  <c r="N143" i="80"/>
  <c r="N169" i="80" s="1"/>
  <c r="N270" i="80" s="1"/>
  <c r="N22" i="71"/>
  <c r="N146" i="80" l="1"/>
  <c r="N172" i="80" s="1"/>
  <c r="N273" i="80" s="1"/>
  <c r="N149" i="80"/>
  <c r="N175" i="80" s="1"/>
  <c r="N276" i="80" s="1"/>
  <c r="N145" i="80"/>
  <c r="N171" i="80" s="1"/>
  <c r="N272" i="80" s="1"/>
  <c r="N142" i="80"/>
  <c r="N208" i="80"/>
  <c r="N176" i="80"/>
  <c r="N170" i="80"/>
  <c r="N271" i="80" s="1"/>
  <c r="N174" i="80"/>
  <c r="N275" i="80" s="1"/>
  <c r="N173" i="80"/>
  <c r="N274" i="80" s="1"/>
  <c r="N127" i="71"/>
  <c r="N168" i="80" l="1"/>
  <c r="N177" i="80" s="1"/>
  <c r="N269" i="80" l="1"/>
  <c r="P183" i="41" l="1"/>
  <c r="P185" i="41" s="1"/>
  <c r="AC183" i="41"/>
  <c r="AC185" i="41" s="1"/>
  <c r="N183" i="41"/>
  <c r="N185" i="41" s="1"/>
  <c r="AD183" i="41"/>
  <c r="AD185" i="41" s="1"/>
  <c r="O183" i="41"/>
  <c r="O185" i="41" s="1"/>
  <c r="AF183" i="41"/>
  <c r="AF185" i="41" s="1"/>
  <c r="S183" i="41"/>
  <c r="S185" i="41" s="1"/>
  <c r="V183" i="41"/>
  <c r="V185" i="41" s="1"/>
  <c r="AA183" i="41"/>
  <c r="AA185" i="41" s="1"/>
  <c r="U183" i="41"/>
  <c r="U185" i="41" s="1"/>
  <c r="Z183" i="41"/>
  <c r="Z185" i="41" s="1"/>
  <c r="T183" i="41"/>
  <c r="T185" i="41" s="1"/>
  <c r="AG183" i="41"/>
  <c r="AG185" i="41" s="1"/>
  <c r="M183" i="41"/>
  <c r="M185" i="41" s="1"/>
  <c r="X183" i="41"/>
  <c r="X185" i="41" s="1"/>
  <c r="Y183" i="41"/>
  <c r="Y185" i="41" s="1"/>
  <c r="AE183" i="41"/>
  <c r="AE185" i="41" s="1"/>
  <c r="Y208" i="41" l="1"/>
  <c r="O208" i="41"/>
  <c r="AC208" i="41"/>
  <c r="N208" i="41"/>
  <c r="AE208" i="41"/>
  <c r="T208" i="41"/>
  <c r="Z208" i="41"/>
  <c r="AA208" i="41"/>
  <c r="V208" i="41" l="1"/>
  <c r="AD208" i="41"/>
  <c r="P208" i="41"/>
  <c r="U208" i="41"/>
  <c r="M208" i="41"/>
  <c r="AG199" i="41"/>
  <c r="AF208" i="41"/>
  <c r="X208" i="41"/>
  <c r="S208" i="41"/>
  <c r="J208" i="41" l="1"/>
  <c r="A4" i="87" l="1"/>
  <c r="J39" i="55"/>
  <c r="J67" i="22"/>
  <c r="J528" i="22" s="1"/>
  <c r="J22" i="105" s="1"/>
  <c r="J170" i="105" l="1"/>
  <c r="J172" i="105" s="1"/>
  <c r="J70" i="82" s="1"/>
  <c r="J199" i="22"/>
  <c r="J231" i="22" s="1"/>
  <c r="J238" i="22" s="1"/>
  <c r="J382" i="22"/>
  <c r="J482" i="22" s="1"/>
  <c r="J53" i="41" s="1"/>
  <c r="J264" i="22" l="1"/>
  <c r="H693" i="22" s="1" a="1"/>
  <c r="H693" i="22" s="1"/>
  <c r="J31" i="53"/>
  <c r="J34" i="53" s="1"/>
  <c r="K42" i="53" s="1"/>
  <c r="K48" i="53" s="1"/>
  <c r="K54" i="53" s="1"/>
  <c r="J56" i="80"/>
  <c r="J59" i="80" s="1"/>
  <c r="J200" i="80" s="1"/>
  <c r="J256" i="80" s="1"/>
  <c r="J43" i="53"/>
  <c r="J49" i="53" s="1"/>
  <c r="J165" i="41"/>
  <c r="J167" i="41" s="1"/>
  <c r="J175" i="41" l="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3" i="41" l="1"/>
  <c r="J185" i="41" s="1"/>
  <c r="AB183" i="41"/>
  <c r="AB185" i="41" s="1"/>
  <c r="Q183" i="41"/>
  <c r="Q185" i="41" s="1"/>
  <c r="K183" i="41"/>
  <c r="K185" i="41" s="1"/>
  <c r="AM183" i="41"/>
  <c r="AM185" i="41" s="1"/>
  <c r="AK183" i="41"/>
  <c r="AK185" i="41" s="1"/>
  <c r="AH183" i="41"/>
  <c r="AH185" i="41" s="1"/>
  <c r="AJ183" i="41"/>
  <c r="AJ185" i="41" s="1"/>
  <c r="AN183" i="41"/>
  <c r="AN185" i="41" s="1"/>
  <c r="AI183" i="41"/>
  <c r="AI185" i="41" s="1"/>
  <c r="L183" i="41"/>
  <c r="L185" i="41" s="1"/>
  <c r="W183" i="41"/>
  <c r="W185" i="41" s="1"/>
  <c r="AO183" i="41"/>
  <c r="AO185" i="41" s="1"/>
  <c r="AL183" i="41"/>
  <c r="AL185" i="41" s="1"/>
  <c r="R183" i="41"/>
  <c r="R185"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5" i="55"/>
  <c r="A4" i="22"/>
  <c r="J48" i="55"/>
  <c r="A4" i="111"/>
  <c r="L104" i="74"/>
  <c r="L136" i="74" s="1"/>
  <c r="J104" i="74"/>
  <c r="J136" i="74" s="1"/>
  <c r="H187"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273" i="53" s="1"/>
  <c r="J130" i="83"/>
  <c r="J130" i="72" s="1"/>
  <c r="J200" i="72" s="1"/>
  <c r="J230" i="72" s="1"/>
  <c r="L103" i="74"/>
  <c r="L135" i="74" s="1"/>
  <c r="Y189" i="41" l="1"/>
  <c r="W189" i="41"/>
  <c r="AC189" i="41"/>
  <c r="AI189" i="41"/>
  <c r="V189" i="41"/>
  <c r="N189" i="41"/>
  <c r="S189" i="41"/>
  <c r="AA189" i="41"/>
  <c r="T189" i="41"/>
  <c r="AH189" i="41"/>
  <c r="AB189" i="41"/>
  <c r="AJ189" i="41"/>
  <c r="AF189" i="41"/>
  <c r="R189" i="41"/>
  <c r="U189" i="41"/>
  <c r="Z189" i="41"/>
  <c r="AE189" i="41"/>
  <c r="AO189" i="41"/>
  <c r="AN189" i="41"/>
  <c r="M189" i="41"/>
  <c r="J189" i="41"/>
  <c r="P189" i="41"/>
  <c r="AL189" i="41"/>
  <c r="AK189" i="41"/>
  <c r="O189" i="41"/>
  <c r="Q189" i="41"/>
  <c r="AM189" i="41"/>
  <c r="AG189" i="41"/>
  <c r="L189" i="41"/>
  <c r="AD189" i="41"/>
  <c r="X189" i="41"/>
  <c r="K189"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289" i="53" s="1"/>
  <c r="K130" i="83"/>
  <c r="K130" i="72" s="1"/>
  <c r="K200" i="72" s="1"/>
  <c r="K230" i="72" s="1"/>
  <c r="J278" i="53"/>
  <c r="J76" i="80" s="1"/>
  <c r="J88" i="80" s="1"/>
  <c r="J284" i="53"/>
  <c r="J95" i="83" s="1"/>
  <c r="J183" i="83" s="1"/>
  <c r="J54" i="71" s="1"/>
  <c r="J159" i="71" s="1"/>
  <c r="J290" i="53"/>
  <c r="J101" i="83" s="1"/>
  <c r="J189" i="83" s="1"/>
  <c r="J60" i="71" s="1"/>
  <c r="J165" i="71" s="1"/>
  <c r="J279" i="53"/>
  <c r="J89" i="83" s="1"/>
  <c r="J160" i="83" s="1"/>
  <c r="J30" i="71" s="1"/>
  <c r="J135" i="71" s="1"/>
  <c r="J291" i="53"/>
  <c r="J102" i="83" s="1"/>
  <c r="J190" i="83" s="1"/>
  <c r="J61" i="71" s="1"/>
  <c r="J166" i="71" s="1"/>
  <c r="J301" i="53"/>
  <c r="J123" i="80" s="1"/>
  <c r="J135" i="80" s="1"/>
  <c r="J295" i="53"/>
  <c r="J107" i="83" s="1"/>
  <c r="J212" i="83" s="1"/>
  <c r="J84" i="71" s="1"/>
  <c r="J189" i="71" s="1"/>
  <c r="J299" i="53"/>
  <c r="J111" i="83" s="1"/>
  <c r="J216" i="83" s="1"/>
  <c r="J88" i="71" s="1"/>
  <c r="J193" i="71" s="1"/>
  <c r="J298" i="53"/>
  <c r="J120" i="80" s="1"/>
  <c r="J132" i="80" s="1"/>
  <c r="J288" i="53"/>
  <c r="J98" i="80" s="1"/>
  <c r="J110" i="80" s="1"/>
  <c r="J294" i="53"/>
  <c r="J106" i="83" s="1"/>
  <c r="J211" i="83" s="1"/>
  <c r="J83" i="71" s="1"/>
  <c r="J188" i="71" s="1"/>
  <c r="J274" i="53"/>
  <c r="J84" i="83" s="1"/>
  <c r="J155" i="83" s="1"/>
  <c r="J25" i="71" s="1"/>
  <c r="J130" i="71" s="1"/>
  <c r="J275" i="53"/>
  <c r="J73" i="80" s="1"/>
  <c r="J85" i="80" s="1"/>
  <c r="J296" i="53"/>
  <c r="J118" i="80" s="1"/>
  <c r="J130" i="80" s="1"/>
  <c r="J280" i="53"/>
  <c r="J78" i="80" s="1"/>
  <c r="J90" i="80" s="1"/>
  <c r="J297" i="53"/>
  <c r="J119" i="80" s="1"/>
  <c r="J131" i="80" s="1"/>
  <c r="J287" i="53"/>
  <c r="J98" i="83" s="1"/>
  <c r="J186" i="83" s="1"/>
  <c r="J57" i="71" s="1"/>
  <c r="J162" i="71" s="1"/>
  <c r="J272" i="53"/>
  <c r="J82" i="83" s="1"/>
  <c r="J153" i="83" s="1"/>
  <c r="J23" i="71" s="1"/>
  <c r="J128" i="71" s="1"/>
  <c r="J302" i="53"/>
  <c r="J114" i="83" s="1"/>
  <c r="J219" i="83" s="1"/>
  <c r="J91" i="71" s="1"/>
  <c r="J196" i="71" s="1"/>
  <c r="J285" i="53"/>
  <c r="J96" i="83" s="1"/>
  <c r="J184" i="83" s="1"/>
  <c r="J55" i="71" s="1"/>
  <c r="J160" i="71" s="1"/>
  <c r="J283" i="53"/>
  <c r="J93" i="80" s="1"/>
  <c r="J105" i="80" s="1"/>
  <c r="J289" i="53"/>
  <c r="J99" i="80" s="1"/>
  <c r="J111" i="80" s="1"/>
  <c r="J276" i="53"/>
  <c r="J86" i="83" s="1"/>
  <c r="J157" i="83" s="1"/>
  <c r="J27" i="71" s="1"/>
  <c r="J132" i="71" s="1"/>
  <c r="J277" i="53"/>
  <c r="J75" i="80" s="1"/>
  <c r="J87" i="80" s="1"/>
  <c r="J300" i="53"/>
  <c r="J122" i="80" s="1"/>
  <c r="J134" i="80" s="1"/>
  <c r="J286" i="53"/>
  <c r="J96" i="80" s="1"/>
  <c r="J108" i="80" s="1"/>
  <c r="J100" i="80"/>
  <c r="J112" i="80" s="1"/>
  <c r="J71" i="80"/>
  <c r="J83" i="80" s="1"/>
  <c r="J83" i="83"/>
  <c r="J154" i="83" s="1"/>
  <c r="J24" i="71" s="1"/>
  <c r="J129" i="71" s="1"/>
  <c r="J88" i="83" l="1"/>
  <c r="J159" i="83" s="1"/>
  <c r="J29" i="71" s="1"/>
  <c r="J134" i="71" s="1"/>
  <c r="J113" i="83"/>
  <c r="J218" i="83" s="1"/>
  <c r="J90" i="71" s="1"/>
  <c r="J195" i="71" s="1"/>
  <c r="K278" i="53"/>
  <c r="K76" i="80" s="1"/>
  <c r="K88" i="80" s="1"/>
  <c r="J124" i="80"/>
  <c r="J136" i="80" s="1"/>
  <c r="K294" i="53"/>
  <c r="K105" i="83" s="1"/>
  <c r="K210" i="83" s="1"/>
  <c r="K82" i="71" s="1"/>
  <c r="K187" i="71" s="1"/>
  <c r="K297" i="53"/>
  <c r="K109" i="83" s="1"/>
  <c r="K214" i="83" s="1"/>
  <c r="K86" i="71" s="1"/>
  <c r="K191" i="71" s="1"/>
  <c r="K277" i="53"/>
  <c r="K87" i="83" s="1"/>
  <c r="K158" i="83" s="1"/>
  <c r="K28" i="71" s="1"/>
  <c r="K133" i="71" s="1"/>
  <c r="K287" i="53"/>
  <c r="K98" i="83" s="1"/>
  <c r="K186" i="83" s="1"/>
  <c r="K57" i="71" s="1"/>
  <c r="K162" i="71" s="1"/>
  <c r="J85" i="83"/>
  <c r="J156" i="83" s="1"/>
  <c r="J26" i="71" s="1"/>
  <c r="J131" i="71" s="1"/>
  <c r="K301" i="53"/>
  <c r="K123" i="80" s="1"/>
  <c r="K135" i="80" s="1"/>
  <c r="K298" i="53"/>
  <c r="K110" i="83" s="1"/>
  <c r="K215" i="83" s="1"/>
  <c r="K87" i="71" s="1"/>
  <c r="K192" i="71" s="1"/>
  <c r="J101" i="80"/>
  <c r="J113" i="80" s="1"/>
  <c r="K299" i="53"/>
  <c r="K111" i="83" s="1"/>
  <c r="K216" i="83" s="1"/>
  <c r="K88" i="71" s="1"/>
  <c r="K193" i="71" s="1"/>
  <c r="K279" i="53"/>
  <c r="K89" i="83" s="1"/>
  <c r="K160" i="83" s="1"/>
  <c r="K30" i="71" s="1"/>
  <c r="K135" i="71" s="1"/>
  <c r="K290" i="53"/>
  <c r="K101" i="83" s="1"/>
  <c r="K189" i="83" s="1"/>
  <c r="K60" i="71" s="1"/>
  <c r="K165" i="71" s="1"/>
  <c r="J74" i="80"/>
  <c r="J86" i="80" s="1"/>
  <c r="K272" i="53"/>
  <c r="K81" i="83" s="1"/>
  <c r="K152" i="83" s="1"/>
  <c r="K280" i="53"/>
  <c r="K90" i="83" s="1"/>
  <c r="K161" i="83" s="1"/>
  <c r="K31" i="71" s="1"/>
  <c r="K136" i="71" s="1"/>
  <c r="K275" i="53"/>
  <c r="K85" i="83" s="1"/>
  <c r="K156" i="83" s="1"/>
  <c r="K26" i="71" s="1"/>
  <c r="K131" i="71" s="1"/>
  <c r="K302" i="53"/>
  <c r="K124" i="80" s="1"/>
  <c r="K136" i="80" s="1"/>
  <c r="K273" i="53"/>
  <c r="K71" i="80" s="1"/>
  <c r="K83" i="80" s="1"/>
  <c r="K284" i="53"/>
  <c r="K94" i="80" s="1"/>
  <c r="K106" i="80" s="1"/>
  <c r="K291" i="53"/>
  <c r="K101" i="80" s="1"/>
  <c r="K113" i="80" s="1"/>
  <c r="J117" i="80"/>
  <c r="J129" i="80" s="1"/>
  <c r="K288" i="53"/>
  <c r="K99" i="83" s="1"/>
  <c r="K187" i="83" s="1"/>
  <c r="K58" i="71" s="1"/>
  <c r="K163" i="71" s="1"/>
  <c r="K274" i="53"/>
  <c r="K295" i="53"/>
  <c r="K117" i="80" s="1"/>
  <c r="K129" i="80" s="1"/>
  <c r="K283" i="53"/>
  <c r="K93" i="80" s="1"/>
  <c r="K105" i="80" s="1"/>
  <c r="K296" i="53"/>
  <c r="K118" i="80" s="1"/>
  <c r="K130" i="80" s="1"/>
  <c r="K276" i="53"/>
  <c r="K86" i="83" s="1"/>
  <c r="K157" i="83" s="1"/>
  <c r="K27" i="71" s="1"/>
  <c r="K132" i="71" s="1"/>
  <c r="K300" i="53"/>
  <c r="K122" i="80" s="1"/>
  <c r="K134" i="80" s="1"/>
  <c r="K285" i="53"/>
  <c r="K95" i="80" s="1"/>
  <c r="K107" i="80" s="1"/>
  <c r="K286" i="53"/>
  <c r="K97" i="83" s="1"/>
  <c r="K185" i="83" s="1"/>
  <c r="K56" i="71" s="1"/>
  <c r="K161" i="71" s="1"/>
  <c r="J94" i="80"/>
  <c r="J106" i="80" s="1"/>
  <c r="J72" i="80"/>
  <c r="J84" i="80" s="1"/>
  <c r="J105" i="83"/>
  <c r="J210" i="83" s="1"/>
  <c r="J82" i="71" s="1"/>
  <c r="J187" i="71" s="1"/>
  <c r="J116" i="80"/>
  <c r="J128" i="80" s="1"/>
  <c r="J121" i="80"/>
  <c r="J133" i="80" s="1"/>
  <c r="J147" i="80" s="1"/>
  <c r="J109" i="83"/>
  <c r="J214" i="83" s="1"/>
  <c r="J86" i="71" s="1"/>
  <c r="J191" i="71" s="1"/>
  <c r="J90" i="83"/>
  <c r="J161" i="83" s="1"/>
  <c r="J31" i="71" s="1"/>
  <c r="J136" i="71" s="1"/>
  <c r="J95" i="80"/>
  <c r="J107" i="80" s="1"/>
  <c r="J87" i="83"/>
  <c r="J158" i="83" s="1"/>
  <c r="J28" i="71" s="1"/>
  <c r="J133" i="71" s="1"/>
  <c r="J93" i="83"/>
  <c r="J181" i="83" s="1"/>
  <c r="J52" i="71" s="1"/>
  <c r="J157" i="71" s="1"/>
  <c r="J94" i="83"/>
  <c r="J182" i="83" s="1"/>
  <c r="J53" i="71" s="1"/>
  <c r="J158" i="71" s="1"/>
  <c r="J97" i="80"/>
  <c r="J109" i="80" s="1"/>
  <c r="J77" i="80"/>
  <c r="J89" i="80" s="1"/>
  <c r="J149" i="80" s="1"/>
  <c r="J175" i="80" s="1"/>
  <c r="J276" i="80" s="1"/>
  <c r="J110" i="83"/>
  <c r="J215" i="83" s="1"/>
  <c r="J87" i="71" s="1"/>
  <c r="J192" i="71" s="1"/>
  <c r="J112" i="83"/>
  <c r="J217" i="83" s="1"/>
  <c r="J89" i="71" s="1"/>
  <c r="J194" i="71" s="1"/>
  <c r="J81" i="83"/>
  <c r="J152" i="83" s="1"/>
  <c r="J22" i="71" s="1"/>
  <c r="J108" i="83"/>
  <c r="J213" i="83" s="1"/>
  <c r="J85" i="71" s="1"/>
  <c r="J190" i="71" s="1"/>
  <c r="J145" i="80"/>
  <c r="J171" i="80" s="1"/>
  <c r="J272" i="80" s="1"/>
  <c r="J70" i="80"/>
  <c r="J82" i="80" s="1"/>
  <c r="J97" i="83"/>
  <c r="J185" i="83" s="1"/>
  <c r="J56" i="71" s="1"/>
  <c r="J161" i="71" s="1"/>
  <c r="J100" i="83"/>
  <c r="J188" i="83" s="1"/>
  <c r="J59" i="71" s="1"/>
  <c r="J164" i="71" s="1"/>
  <c r="J99" i="83"/>
  <c r="J187" i="83" s="1"/>
  <c r="J58" i="71" s="1"/>
  <c r="J163" i="71" s="1"/>
  <c r="K100" i="83"/>
  <c r="K188" i="83" s="1"/>
  <c r="K59" i="71" s="1"/>
  <c r="K164" i="71" s="1"/>
  <c r="K99" i="80"/>
  <c r="K111" i="80" s="1"/>
  <c r="K113" i="83"/>
  <c r="K218" i="83" s="1"/>
  <c r="K90" i="71" s="1"/>
  <c r="K195" i="71" s="1"/>
  <c r="J148" i="80"/>
  <c r="K88" i="83" l="1"/>
  <c r="K159" i="83" s="1"/>
  <c r="K29" i="71" s="1"/>
  <c r="K134" i="71" s="1"/>
  <c r="K119" i="80"/>
  <c r="K131" i="80" s="1"/>
  <c r="K83" i="83"/>
  <c r="K154" i="83" s="1"/>
  <c r="K24" i="71" s="1"/>
  <c r="K129" i="71" s="1"/>
  <c r="K116" i="80"/>
  <c r="K128" i="80" s="1"/>
  <c r="K106" i="83"/>
  <c r="K211" i="83" s="1"/>
  <c r="K83" i="71" s="1"/>
  <c r="K188" i="71" s="1"/>
  <c r="K96" i="80"/>
  <c r="K108" i="80" s="1"/>
  <c r="K70" i="80"/>
  <c r="K82" i="80" s="1"/>
  <c r="K98" i="80"/>
  <c r="K110" i="80" s="1"/>
  <c r="K121" i="80"/>
  <c r="K133" i="80" s="1"/>
  <c r="K108" i="83"/>
  <c r="K213" i="83" s="1"/>
  <c r="K85" i="71" s="1"/>
  <c r="K190" i="71" s="1"/>
  <c r="K82" i="83"/>
  <c r="K153" i="83" s="1"/>
  <c r="K23" i="71" s="1"/>
  <c r="K128" i="71" s="1"/>
  <c r="K95" i="83"/>
  <c r="K183" i="83" s="1"/>
  <c r="K54" i="71" s="1"/>
  <c r="K159" i="71" s="1"/>
  <c r="J150" i="80"/>
  <c r="J208" i="80" s="1"/>
  <c r="K97" i="80"/>
  <c r="K109" i="80" s="1"/>
  <c r="K94" i="83"/>
  <c r="K182" i="83" s="1"/>
  <c r="K53" i="71" s="1"/>
  <c r="K158" i="71" s="1"/>
  <c r="H306" i="53" a="1"/>
  <c r="H306" i="53" s="1"/>
  <c r="J46" i="55" s="1"/>
  <c r="K112" i="83"/>
  <c r="K217" i="83" s="1"/>
  <c r="K89" i="71" s="1"/>
  <c r="K194" i="71" s="1"/>
  <c r="K107" i="83"/>
  <c r="K212" i="83" s="1"/>
  <c r="K84" i="71" s="1"/>
  <c r="K189" i="71" s="1"/>
  <c r="K73" i="80"/>
  <c r="K85" i="80" s="1"/>
  <c r="J142" i="80"/>
  <c r="J168" i="80" s="1"/>
  <c r="K74" i="80"/>
  <c r="K86" i="80" s="1"/>
  <c r="K120" i="80"/>
  <c r="K132" i="80" s="1"/>
  <c r="K75" i="80"/>
  <c r="K87" i="80" s="1"/>
  <c r="K100" i="80"/>
  <c r="K112" i="80" s="1"/>
  <c r="K72" i="80"/>
  <c r="K84" i="80" s="1"/>
  <c r="K144" i="80" s="1"/>
  <c r="K170" i="80" s="1"/>
  <c r="K271" i="80" s="1"/>
  <c r="K77" i="80"/>
  <c r="K89" i="80" s="1"/>
  <c r="K102" i="83"/>
  <c r="K190" i="83" s="1"/>
  <c r="K61" i="71" s="1"/>
  <c r="K166" i="71" s="1"/>
  <c r="K78" i="80"/>
  <c r="K90" i="80" s="1"/>
  <c r="K150" i="80" s="1"/>
  <c r="K84" i="83"/>
  <c r="K155" i="83" s="1"/>
  <c r="K25" i="71" s="1"/>
  <c r="K130" i="71" s="1"/>
  <c r="J143" i="80"/>
  <c r="J169" i="80" s="1"/>
  <c r="J270" i="80" s="1"/>
  <c r="K96" i="83"/>
  <c r="K184" i="83" s="1"/>
  <c r="K55" i="71" s="1"/>
  <c r="K160" i="71" s="1"/>
  <c r="J146" i="80"/>
  <c r="J172" i="80" s="1"/>
  <c r="J273" i="80" s="1"/>
  <c r="J144" i="80"/>
  <c r="J170" i="80" s="1"/>
  <c r="J271" i="80" s="1"/>
  <c r="K93" i="83"/>
  <c r="K181" i="83" s="1"/>
  <c r="K52" i="71" s="1"/>
  <c r="K157" i="71" s="1"/>
  <c r="K114" i="83"/>
  <c r="K219" i="83" s="1"/>
  <c r="K91" i="71" s="1"/>
  <c r="K196" i="71" s="1"/>
  <c r="K143" i="80"/>
  <c r="K169" i="80" s="1"/>
  <c r="K270" i="80" s="1"/>
  <c r="J127" i="71"/>
  <c r="K22" i="71"/>
  <c r="K127" i="71" s="1"/>
  <c r="K148" i="80"/>
  <c r="K174" i="80" s="1"/>
  <c r="K275" i="80" s="1"/>
  <c r="J174" i="80"/>
  <c r="J275" i="80" s="1"/>
  <c r="J173" i="80"/>
  <c r="J274" i="80" s="1"/>
  <c r="K142" i="80" l="1"/>
  <c r="K168" i="80" s="1"/>
  <c r="K269" i="80" s="1"/>
  <c r="K145" i="80"/>
  <c r="K171" i="80" s="1"/>
  <c r="K272" i="80" s="1"/>
  <c r="H272" i="80" s="1"/>
  <c r="K147" i="80"/>
  <c r="K173" i="80" s="1"/>
  <c r="K274" i="80" s="1"/>
  <c r="H274" i="80" s="1"/>
  <c r="J176" i="80"/>
  <c r="J177" i="80" s="1"/>
  <c r="H270" i="80"/>
  <c r="K149" i="80"/>
  <c r="H161" i="80" s="1"/>
  <c r="A4" i="53"/>
  <c r="K146" i="80"/>
  <c r="K172" i="80" s="1"/>
  <c r="K273" i="80" s="1"/>
  <c r="H273" i="80" s="1"/>
  <c r="H271" i="80"/>
  <c r="H160" i="80"/>
  <c r="H155" i="80"/>
  <c r="J269" i="80"/>
  <c r="H156" i="80"/>
  <c r="K176" i="80"/>
  <c r="K208" i="80"/>
  <c r="H210" i="80" s="1"/>
  <c r="H234" i="80" s="1"/>
  <c r="H162" i="80"/>
  <c r="H275" i="80"/>
  <c r="P260" i="80" l="1"/>
  <c r="O260" i="80"/>
  <c r="N260" i="80"/>
  <c r="H154" i="80"/>
  <c r="H159" i="80"/>
  <c r="H157" i="80"/>
  <c r="K175" i="80"/>
  <c r="K276" i="80" s="1"/>
  <c r="H276" i="80" s="1"/>
  <c r="H158" i="80"/>
  <c r="H269" i="80"/>
  <c r="T260" i="80"/>
  <c r="S260" i="80"/>
  <c r="Y260" i="80"/>
  <c r="L260" i="80"/>
  <c r="M247" i="80"/>
  <c r="M277" i="80" s="1"/>
  <c r="R260" i="80"/>
  <c r="S247" i="80"/>
  <c r="N247" i="80"/>
  <c r="U247" i="80"/>
  <c r="X247" i="80"/>
  <c r="Y247" i="80"/>
  <c r="V260" i="80"/>
  <c r="W260" i="80"/>
  <c r="Q260" i="80"/>
  <c r="P247" i="80"/>
  <c r="U260" i="80"/>
  <c r="J247" i="80"/>
  <c r="X260" i="80"/>
  <c r="Q247" i="80"/>
  <c r="K247" i="80"/>
  <c r="K277" i="80" s="1"/>
  <c r="W247" i="80"/>
  <c r="L247" i="80"/>
  <c r="O247" i="80"/>
  <c r="V247" i="80"/>
  <c r="R247" i="80"/>
  <c r="T247" i="80"/>
  <c r="H32" i="73"/>
  <c r="J260" i="80"/>
  <c r="O277" i="80" l="1"/>
  <c r="P277" i="80"/>
  <c r="N277" i="80"/>
  <c r="K177" i="80"/>
  <c r="J57" i="82" a="1"/>
  <c r="O57" i="82" s="1"/>
  <c r="W277" i="80"/>
  <c r="V277" i="80"/>
  <c r="Y277" i="80"/>
  <c r="T277" i="80"/>
  <c r="L277" i="80"/>
  <c r="U277" i="80"/>
  <c r="X277" i="80"/>
  <c r="R277" i="80"/>
  <c r="J277" i="80"/>
  <c r="M171" i="73"/>
  <c r="M231" i="73" s="1"/>
  <c r="L171" i="73"/>
  <c r="L231" i="73" s="1"/>
  <c r="Q171" i="73"/>
  <c r="Q231" i="73" s="1"/>
  <c r="P171" i="73"/>
  <c r="P231" i="73" s="1"/>
  <c r="J141" i="73"/>
  <c r="N171" i="73"/>
  <c r="N231" i="73" s="1"/>
  <c r="O171" i="73"/>
  <c r="O231" i="73" s="1"/>
  <c r="M141" i="73"/>
  <c r="N141" i="73"/>
  <c r="P141" i="73"/>
  <c r="K171" i="73"/>
  <c r="K231" i="73" s="1"/>
  <c r="K141" i="73"/>
  <c r="Q141" i="73"/>
  <c r="L141" i="73"/>
  <c r="O141" i="73"/>
  <c r="J171" i="73"/>
  <c r="J231" i="73" s="1"/>
  <c r="Q277" i="80"/>
  <c r="S277" i="80"/>
  <c r="N57" i="82" l="1"/>
  <c r="K57" i="82"/>
  <c r="M57" i="82"/>
  <c r="L57" i="82"/>
  <c r="J57" i="82"/>
  <c r="H277" i="80"/>
  <c r="K201" i="73"/>
  <c r="K271" i="73"/>
  <c r="K34" i="74" s="1"/>
  <c r="K79" i="74" s="1"/>
  <c r="M271" i="73"/>
  <c r="M34" i="74" s="1"/>
  <c r="M79" i="74" s="1"/>
  <c r="M201" i="73"/>
  <c r="O271" i="73"/>
  <c r="O34" i="74" s="1"/>
  <c r="O79" i="74" s="1"/>
  <c r="O201" i="73"/>
  <c r="L271" i="73"/>
  <c r="L34" i="74" s="1"/>
  <c r="L79" i="74" s="1"/>
  <c r="L201" i="73"/>
  <c r="P271" i="73"/>
  <c r="P34" i="74" s="1"/>
  <c r="P79" i="74" s="1"/>
  <c r="P201" i="73"/>
  <c r="Q271" i="73"/>
  <c r="Q34" i="74" s="1"/>
  <c r="Q79" i="74" s="1"/>
  <c r="Q201" i="73"/>
  <c r="N271" i="73"/>
  <c r="N34" i="74" s="1"/>
  <c r="N79" i="74" s="1"/>
  <c r="N201" i="73"/>
  <c r="J271" i="73"/>
  <c r="J34" i="74" s="1"/>
  <c r="J201" i="73"/>
  <c r="K64" i="81" l="1" a="1"/>
  <c r="H281" i="80" a="1"/>
  <c r="H281" i="80" s="1"/>
  <c r="X109" i="74"/>
  <c r="X141" i="74" s="1"/>
  <c r="S109" i="74"/>
  <c r="S141" i="74" s="1"/>
  <c r="Y109" i="74"/>
  <c r="Y141" i="74" s="1"/>
  <c r="V109" i="74"/>
  <c r="V141" i="74" s="1"/>
  <c r="K109" i="74"/>
  <c r="K141" i="74" s="1"/>
  <c r="T109" i="74"/>
  <c r="T141" i="74" s="1"/>
  <c r="W109" i="74"/>
  <c r="W141" i="74" s="1"/>
  <c r="N109" i="74"/>
  <c r="N141" i="74" s="1"/>
  <c r="P109" i="74"/>
  <c r="P141" i="74" s="1"/>
  <c r="R109" i="74"/>
  <c r="R141" i="74" s="1"/>
  <c r="U109" i="74"/>
  <c r="U141" i="74" s="1"/>
  <c r="M109" i="74"/>
  <c r="M141" i="74" s="1"/>
  <c r="O109" i="74"/>
  <c r="O141" i="74" s="1"/>
  <c r="Q109" i="74"/>
  <c r="Q141" i="74" s="1"/>
  <c r="J79" i="74"/>
  <c r="J47" i="55" l="1"/>
  <c r="A4" i="80"/>
  <c r="P64" i="81"/>
  <c r="P67" i="81" s="1"/>
  <c r="N64" i="81"/>
  <c r="N67" i="81" s="1"/>
  <c r="N73" i="81" s="1"/>
  <c r="N76" i="81" s="1"/>
  <c r="N108" i="81" s="1"/>
  <c r="M58" i="82" s="1"/>
  <c r="L64" i="81"/>
  <c r="L67" i="81" s="1"/>
  <c r="L73" i="81" s="1"/>
  <c r="L76" i="81" s="1"/>
  <c r="L108" i="81" s="1"/>
  <c r="O64" i="81"/>
  <c r="O67" i="81" s="1"/>
  <c r="O73" i="81" s="1"/>
  <c r="O76" i="81" s="1"/>
  <c r="O108" i="81" s="1"/>
  <c r="N58" i="82" s="1"/>
  <c r="Q64" i="81"/>
  <c r="Q67" i="81" s="1"/>
  <c r="Q73" i="81" s="1"/>
  <c r="Q76" i="81" s="1"/>
  <c r="Q108" i="81" s="1"/>
  <c r="P58" i="82" s="1"/>
  <c r="S64" i="81"/>
  <c r="S67" i="81" s="1"/>
  <c r="S73" i="81" s="1"/>
  <c r="S76" i="81" s="1"/>
  <c r="S108" i="81" s="1"/>
  <c r="R58" i="82" s="1"/>
  <c r="R64" i="81"/>
  <c r="R67" i="81" s="1"/>
  <c r="R73" i="81" s="1"/>
  <c r="R76" i="81" s="1"/>
  <c r="R108" i="81" s="1"/>
  <c r="Q58" i="82" s="1"/>
  <c r="M64" i="81"/>
  <c r="M67" i="81" s="1"/>
  <c r="M73" i="81" s="1"/>
  <c r="M76" i="81" s="1"/>
  <c r="M108" i="81" s="1"/>
  <c r="L58" i="82" s="1"/>
  <c r="K64" i="81"/>
  <c r="L109" i="74"/>
  <c r="L141" i="74" s="1"/>
  <c r="J109" i="74"/>
  <c r="J141" i="74" s="1"/>
  <c r="K67" i="81" l="1"/>
  <c r="J65" i="81"/>
  <c r="J67" i="81" s="1"/>
  <c r="J100" i="81" s="1"/>
  <c r="J115" i="81" s="1"/>
  <c r="P100" i="81"/>
  <c r="P115" i="81" s="1"/>
  <c r="P73" i="81"/>
  <c r="P76" i="81" s="1"/>
  <c r="K58" i="82"/>
  <c r="M78" i="81" l="1"/>
  <c r="M97" i="81" s="1"/>
  <c r="M100" i="81" s="1"/>
  <c r="M115" i="81" s="1"/>
  <c r="U78" i="81"/>
  <c r="U97" i="81" s="1"/>
  <c r="P108" i="81"/>
  <c r="S78" i="81"/>
  <c r="S97" i="81" s="1"/>
  <c r="S100" i="81" s="1"/>
  <c r="S115" i="81" s="1"/>
  <c r="L78" i="81"/>
  <c r="L97" i="81" s="1"/>
  <c r="L100" i="81" s="1"/>
  <c r="L115" i="81" s="1"/>
  <c r="T78" i="81"/>
  <c r="T97" i="81" s="1"/>
  <c r="O78" i="81"/>
  <c r="O97" i="81" s="1"/>
  <c r="O100" i="81" s="1"/>
  <c r="O115" i="81" s="1"/>
  <c r="H123" i="81"/>
  <c r="H21" i="76" s="1"/>
  <c r="H35" i="76" s="1"/>
  <c r="V43" i="76" s="1"/>
  <c r="V56" i="74" s="1"/>
  <c r="V157" i="74" s="1"/>
  <c r="P78" i="81"/>
  <c r="P97" i="81" s="1"/>
  <c r="R78" i="81"/>
  <c r="R97" i="81" s="1"/>
  <c r="R100" i="81" s="1"/>
  <c r="R115" i="81" s="1"/>
  <c r="K78" i="81"/>
  <c r="N78" i="81"/>
  <c r="N97" i="81" s="1"/>
  <c r="N100" i="81" s="1"/>
  <c r="N115" i="81" s="1"/>
  <c r="Q78" i="81"/>
  <c r="Q97" i="81" s="1"/>
  <c r="Q100" i="81" s="1"/>
  <c r="Q115" i="81" s="1"/>
  <c r="S43" i="76" l="1"/>
  <c r="S56" i="74" s="1"/>
  <c r="S157" i="74" s="1"/>
  <c r="Q42" i="76"/>
  <c r="L42" i="76"/>
  <c r="L55" i="74" s="1"/>
  <c r="L156" i="74" s="1"/>
  <c r="O42" i="76"/>
  <c r="O55" i="74" s="1"/>
  <c r="O156" i="74" s="1"/>
  <c r="X42" i="76"/>
  <c r="X55" i="74" s="1"/>
  <c r="X156" i="74" s="1"/>
  <c r="N42" i="76"/>
  <c r="N55" i="74" s="1"/>
  <c r="N156" i="74" s="1"/>
  <c r="U42" i="76"/>
  <c r="U55" i="74" s="1"/>
  <c r="U156" i="74" s="1"/>
  <c r="W43" i="76"/>
  <c r="W56" i="74" s="1"/>
  <c r="W157" i="74" s="1"/>
  <c r="L43" i="76"/>
  <c r="L56" i="74" s="1"/>
  <c r="L157" i="74" s="1"/>
  <c r="T42" i="76"/>
  <c r="T55" i="74" s="1"/>
  <c r="T156" i="74" s="1"/>
  <c r="T43" i="76"/>
  <c r="T56" i="74" s="1"/>
  <c r="T157" i="74" s="1"/>
  <c r="Q44" i="76"/>
  <c r="Q106" i="71" s="1"/>
  <c r="Q211" i="71" s="1"/>
  <c r="V42" i="76"/>
  <c r="V55" i="74" s="1"/>
  <c r="V156" i="74" s="1"/>
  <c r="S42" i="76"/>
  <c r="S55" i="74" s="1"/>
  <c r="S156" i="74" s="1"/>
  <c r="R43" i="76"/>
  <c r="R56" i="74" s="1"/>
  <c r="R157" i="74" s="1"/>
  <c r="Y42" i="76"/>
  <c r="Y55" i="74" s="1"/>
  <c r="Y156" i="74" s="1"/>
  <c r="J42" i="76"/>
  <c r="J55" i="74" s="1"/>
  <c r="J156" i="74" s="1"/>
  <c r="P42" i="76"/>
  <c r="P55" i="74" s="1"/>
  <c r="P156" i="74" s="1"/>
  <c r="Y43" i="76"/>
  <c r="Y56" i="74" s="1"/>
  <c r="Y157" i="74" s="1"/>
  <c r="P43" i="76"/>
  <c r="P56" i="74" s="1"/>
  <c r="P157" i="74" s="1"/>
  <c r="K43" i="76"/>
  <c r="K56" i="74" s="1"/>
  <c r="K157" i="74" s="1"/>
  <c r="J43" i="76"/>
  <c r="J56" i="74" s="1"/>
  <c r="J157" i="74" s="1"/>
  <c r="W42" i="76"/>
  <c r="W55" i="74" s="1"/>
  <c r="W156" i="74" s="1"/>
  <c r="K42" i="76"/>
  <c r="K55" i="74" s="1"/>
  <c r="K156" i="74" s="1"/>
  <c r="R42" i="76"/>
  <c r="R55" i="74" s="1"/>
  <c r="R156" i="74" s="1"/>
  <c r="N43" i="76"/>
  <c r="N56" i="74" s="1"/>
  <c r="N157" i="74" s="1"/>
  <c r="Q43" i="76"/>
  <c r="U43" i="76"/>
  <c r="U56" i="74" s="1"/>
  <c r="U157" i="74" s="1"/>
  <c r="O43" i="76"/>
  <c r="O56" i="74" s="1"/>
  <c r="O157" i="74" s="1"/>
  <c r="M42" i="76"/>
  <c r="M55" i="74" s="1"/>
  <c r="M156" i="74" s="1"/>
  <c r="X43" i="76"/>
  <c r="X56" i="74" s="1"/>
  <c r="X157" i="74" s="1"/>
  <c r="M43" i="76"/>
  <c r="M56" i="74" s="1"/>
  <c r="M157" i="74" s="1"/>
  <c r="K97" i="81"/>
  <c r="K100" i="81" s="1"/>
  <c r="K115" i="81" s="1"/>
  <c r="O58" i="82"/>
  <c r="H19" i="82" a="1"/>
  <c r="Q46" i="71" l="1"/>
  <c r="Q151" i="71" s="1"/>
  <c r="Q76" i="71"/>
  <c r="Q181" i="71" s="1"/>
  <c r="H127" i="81" a="1"/>
  <c r="H127" i="81" s="1"/>
  <c r="H131" i="81" s="1"/>
  <c r="J49" i="55" s="1"/>
  <c r="H48" i="76" a="1"/>
  <c r="H48" i="76" s="1"/>
  <c r="A4" i="76" s="1"/>
  <c r="H21" i="82"/>
  <c r="H23" i="82"/>
  <c r="H20" i="82"/>
  <c r="H22" i="82"/>
  <c r="H19" i="82"/>
  <c r="H63" i="72" a="1"/>
  <c r="H65" i="73" a="1"/>
  <c r="H30" i="83" a="1"/>
  <c r="A4" i="81" l="1"/>
  <c r="J51" i="55"/>
  <c r="H71" i="72"/>
  <c r="H70" i="72"/>
  <c r="H68" i="72"/>
  <c r="H69" i="72"/>
  <c r="H66" i="72"/>
  <c r="H65" i="72"/>
  <c r="H64" i="72"/>
  <c r="H72" i="72"/>
  <c r="H67" i="72"/>
  <c r="H63" i="72"/>
  <c r="H32" i="83"/>
  <c r="H35" i="83"/>
  <c r="H37" i="83"/>
  <c r="H38" i="83"/>
  <c r="H33" i="83"/>
  <c r="H31" i="83"/>
  <c r="H30" i="83"/>
  <c r="H36" i="83"/>
  <c r="H39" i="83"/>
  <c r="H34" i="83"/>
  <c r="H71" i="73"/>
  <c r="H67" i="73"/>
  <c r="H70" i="73"/>
  <c r="H74" i="73"/>
  <c r="H65" i="73"/>
  <c r="H68" i="73"/>
  <c r="H66" i="73"/>
  <c r="H73" i="73"/>
  <c r="H72" i="73"/>
  <c r="H69" i="73"/>
  <c r="Q184" i="73" l="1"/>
  <c r="Q244" i="73" s="1"/>
  <c r="P184" i="73"/>
  <c r="P244" i="73" s="1"/>
  <c r="M154" i="73"/>
  <c r="P154" i="73"/>
  <c r="N184" i="73"/>
  <c r="N244" i="73" s="1"/>
  <c r="J184" i="73"/>
  <c r="J244" i="73" s="1"/>
  <c r="N154" i="73"/>
  <c r="Q154" i="73"/>
  <c r="O184" i="73"/>
  <c r="O244" i="73" s="1"/>
  <c r="L154" i="73"/>
  <c r="K154" i="73"/>
  <c r="J154" i="73"/>
  <c r="M184" i="73"/>
  <c r="M244" i="73" s="1"/>
  <c r="K184" i="73"/>
  <c r="K244" i="73" s="1"/>
  <c r="L184" i="73"/>
  <c r="L244" i="73" s="1"/>
  <c r="O154" i="73"/>
  <c r="O185" i="73"/>
  <c r="O245" i="73" s="1"/>
  <c r="N185" i="73"/>
  <c r="N245" i="73" s="1"/>
  <c r="N155" i="73"/>
  <c r="P155" i="73"/>
  <c r="L185" i="73"/>
  <c r="L245" i="73" s="1"/>
  <c r="J185" i="73"/>
  <c r="J245" i="73" s="1"/>
  <c r="O155" i="73"/>
  <c r="M155" i="73"/>
  <c r="Q185" i="73"/>
  <c r="Q245" i="73" s="1"/>
  <c r="M185" i="73"/>
  <c r="M245" i="73" s="1"/>
  <c r="J155" i="73"/>
  <c r="L155" i="73"/>
  <c r="P185" i="73"/>
  <c r="P245" i="73" s="1"/>
  <c r="K185" i="73"/>
  <c r="K245" i="73" s="1"/>
  <c r="Q155" i="73"/>
  <c r="K155" i="73"/>
  <c r="P226" i="83"/>
  <c r="P100" i="71" s="1"/>
  <c r="P205" i="71" s="1"/>
  <c r="Q139" i="83"/>
  <c r="Q141" i="72" s="1"/>
  <c r="Q211" i="72" s="1"/>
  <c r="Q241" i="72" s="1"/>
  <c r="V168" i="83"/>
  <c r="V40" i="71" s="1"/>
  <c r="V145" i="71" s="1"/>
  <c r="U226" i="83"/>
  <c r="U100" i="71" s="1"/>
  <c r="U205" i="71" s="1"/>
  <c r="P139" i="83"/>
  <c r="P141" i="72" s="1"/>
  <c r="P211" i="72" s="1"/>
  <c r="P241" i="72" s="1"/>
  <c r="Q168" i="83"/>
  <c r="Q40" i="71" s="1"/>
  <c r="Q145" i="71" s="1"/>
  <c r="V139" i="83"/>
  <c r="X197" i="83"/>
  <c r="X70" i="71" s="1"/>
  <c r="X175" i="71" s="1"/>
  <c r="J139" i="83"/>
  <c r="J141" i="72" s="1"/>
  <c r="J211" i="72" s="1"/>
  <c r="J241" i="72" s="1"/>
  <c r="X168" i="83"/>
  <c r="X40" i="71" s="1"/>
  <c r="X145" i="71" s="1"/>
  <c r="L226" i="83"/>
  <c r="L100" i="71" s="1"/>
  <c r="L205" i="71" s="1"/>
  <c r="K226" i="83"/>
  <c r="K100" i="71" s="1"/>
  <c r="K205" i="71" s="1"/>
  <c r="J168" i="83"/>
  <c r="J40" i="71" s="1"/>
  <c r="J145" i="71" s="1"/>
  <c r="V197" i="83"/>
  <c r="V70" i="71" s="1"/>
  <c r="V175" i="71" s="1"/>
  <c r="Q226" i="83"/>
  <c r="Q100" i="71" s="1"/>
  <c r="Q205" i="71" s="1"/>
  <c r="R168" i="83"/>
  <c r="R40" i="71" s="1"/>
  <c r="R145" i="71" s="1"/>
  <c r="R226" i="83"/>
  <c r="R100" i="71" s="1"/>
  <c r="R205" i="71" s="1"/>
  <c r="K197" i="83"/>
  <c r="K70" i="71" s="1"/>
  <c r="K175" i="71" s="1"/>
  <c r="W197" i="83"/>
  <c r="W70" i="71" s="1"/>
  <c r="W175" i="71" s="1"/>
  <c r="N197" i="83"/>
  <c r="N70" i="71" s="1"/>
  <c r="N175" i="71" s="1"/>
  <c r="M168" i="83"/>
  <c r="M40" i="71" s="1"/>
  <c r="M145" i="71" s="1"/>
  <c r="P197" i="83"/>
  <c r="P70" i="71" s="1"/>
  <c r="P175" i="71" s="1"/>
  <c r="X226" i="83"/>
  <c r="X100" i="71" s="1"/>
  <c r="X205" i="71" s="1"/>
  <c r="J197" i="83"/>
  <c r="J70" i="71" s="1"/>
  <c r="J175" i="71" s="1"/>
  <c r="N168" i="83"/>
  <c r="N40" i="71" s="1"/>
  <c r="N145" i="71" s="1"/>
  <c r="O197" i="83"/>
  <c r="O70" i="71" s="1"/>
  <c r="O175" i="71" s="1"/>
  <c r="J226" i="83"/>
  <c r="J100" i="71" s="1"/>
  <c r="J205" i="71" s="1"/>
  <c r="Y226" i="83"/>
  <c r="Y100" i="71" s="1"/>
  <c r="Y205" i="71" s="1"/>
  <c r="K168" i="83"/>
  <c r="K40" i="71" s="1"/>
  <c r="K145" i="71" s="1"/>
  <c r="N226" i="83"/>
  <c r="N100" i="71" s="1"/>
  <c r="N205" i="71" s="1"/>
  <c r="S197" i="83"/>
  <c r="S70" i="71" s="1"/>
  <c r="S175" i="71" s="1"/>
  <c r="O139" i="83"/>
  <c r="O141" i="72" s="1"/>
  <c r="O211" i="72" s="1"/>
  <c r="O241" i="72" s="1"/>
  <c r="T139" i="83"/>
  <c r="W168" i="83"/>
  <c r="W40" i="71" s="1"/>
  <c r="W145" i="71" s="1"/>
  <c r="X139" i="83"/>
  <c r="R197" i="83"/>
  <c r="R70" i="71" s="1"/>
  <c r="R175" i="71" s="1"/>
  <c r="T226" i="83"/>
  <c r="T100" i="71" s="1"/>
  <c r="T205" i="71" s="1"/>
  <c r="K139" i="83"/>
  <c r="K141" i="72" s="1"/>
  <c r="K211" i="72" s="1"/>
  <c r="K241" i="72" s="1"/>
  <c r="T197" i="83"/>
  <c r="T70" i="71" s="1"/>
  <c r="T175" i="71" s="1"/>
  <c r="M197" i="83"/>
  <c r="M70" i="71" s="1"/>
  <c r="M175" i="71" s="1"/>
  <c r="W226" i="83"/>
  <c r="W100" i="71" s="1"/>
  <c r="W205" i="71" s="1"/>
  <c r="O226" i="83"/>
  <c r="O100" i="71" s="1"/>
  <c r="O205" i="71" s="1"/>
  <c r="S168" i="83"/>
  <c r="S40" i="71" s="1"/>
  <c r="S145" i="71" s="1"/>
  <c r="L168" i="83"/>
  <c r="L40" i="71" s="1"/>
  <c r="L145" i="71" s="1"/>
  <c r="M226" i="83"/>
  <c r="M100" i="71" s="1"/>
  <c r="M205" i="71" s="1"/>
  <c r="O168" i="83"/>
  <c r="O40" i="71" s="1"/>
  <c r="O145" i="71" s="1"/>
  <c r="P168" i="83"/>
  <c r="P40" i="71" s="1"/>
  <c r="P145" i="71" s="1"/>
  <c r="S226" i="83"/>
  <c r="S100" i="71" s="1"/>
  <c r="S205" i="71" s="1"/>
  <c r="U197" i="83"/>
  <c r="U70" i="71" s="1"/>
  <c r="U175" i="71" s="1"/>
  <c r="S139" i="83"/>
  <c r="R139" i="83"/>
  <c r="U168" i="83"/>
  <c r="U40" i="71" s="1"/>
  <c r="U145" i="71" s="1"/>
  <c r="N139" i="83"/>
  <c r="N141" i="72" s="1"/>
  <c r="N211" i="72" s="1"/>
  <c r="N241" i="72" s="1"/>
  <c r="Y197" i="83"/>
  <c r="Y70" i="71" s="1"/>
  <c r="Y175" i="71" s="1"/>
  <c r="Y168" i="83"/>
  <c r="Y40" i="71" s="1"/>
  <c r="Y145" i="71" s="1"/>
  <c r="W139" i="83"/>
  <c r="U139" i="83"/>
  <c r="T168" i="83"/>
  <c r="T40" i="71" s="1"/>
  <c r="T145" i="71" s="1"/>
  <c r="L139" i="83"/>
  <c r="L141" i="72" s="1"/>
  <c r="L211" i="72" s="1"/>
  <c r="L241" i="72" s="1"/>
  <c r="M139" i="83"/>
  <c r="M141" i="72" s="1"/>
  <c r="M211" i="72" s="1"/>
  <c r="M241" i="72" s="1"/>
  <c r="V226" i="83"/>
  <c r="V100" i="71" s="1"/>
  <c r="V205" i="71" s="1"/>
  <c r="Y139" i="83"/>
  <c r="L197" i="83"/>
  <c r="L70" i="71" s="1"/>
  <c r="L175" i="71" s="1"/>
  <c r="Q197" i="83"/>
  <c r="Q70" i="71" s="1"/>
  <c r="Q175" i="71" s="1"/>
  <c r="N165" i="83"/>
  <c r="N37" i="71" s="1"/>
  <c r="N142" i="71" s="1"/>
  <c r="W194" i="83"/>
  <c r="W67" i="71" s="1"/>
  <c r="W172" i="71" s="1"/>
  <c r="W136" i="83"/>
  <c r="R136" i="83"/>
  <c r="T136" i="83"/>
  <c r="K165" i="83"/>
  <c r="K37" i="71" s="1"/>
  <c r="K142" i="71" s="1"/>
  <c r="J223" i="83"/>
  <c r="J97" i="71" s="1"/>
  <c r="J202" i="71" s="1"/>
  <c r="R194" i="83"/>
  <c r="R67" i="71" s="1"/>
  <c r="R172" i="71" s="1"/>
  <c r="R223" i="83"/>
  <c r="R97" i="71" s="1"/>
  <c r="R202" i="71" s="1"/>
  <c r="W165" i="83"/>
  <c r="W37" i="71" s="1"/>
  <c r="W142" i="71" s="1"/>
  <c r="X223" i="83"/>
  <c r="X97" i="71" s="1"/>
  <c r="X202" i="71" s="1"/>
  <c r="T165" i="83"/>
  <c r="T37" i="71" s="1"/>
  <c r="T142" i="71" s="1"/>
  <c r="Y136" i="83"/>
  <c r="P194" i="83"/>
  <c r="P67" i="71" s="1"/>
  <c r="P172" i="71" s="1"/>
  <c r="J194" i="83"/>
  <c r="J67" i="71" s="1"/>
  <c r="J172" i="71" s="1"/>
  <c r="V136" i="83"/>
  <c r="O136" i="83"/>
  <c r="O138" i="72" s="1"/>
  <c r="O208" i="72" s="1"/>
  <c r="O238" i="72" s="1"/>
  <c r="T194" i="83"/>
  <c r="T67" i="71" s="1"/>
  <c r="T172" i="71" s="1"/>
  <c r="M223" i="83"/>
  <c r="M97" i="71" s="1"/>
  <c r="M202" i="71" s="1"/>
  <c r="U165" i="83"/>
  <c r="U37" i="71" s="1"/>
  <c r="U142" i="71" s="1"/>
  <c r="Y223" i="83"/>
  <c r="Y97" i="71" s="1"/>
  <c r="Y202" i="71" s="1"/>
  <c r="O194" i="83"/>
  <c r="O67" i="71" s="1"/>
  <c r="O172" i="71" s="1"/>
  <c r="X194" i="83"/>
  <c r="X67" i="71" s="1"/>
  <c r="X172" i="71" s="1"/>
  <c r="V223" i="83"/>
  <c r="V97" i="71" s="1"/>
  <c r="V202" i="71" s="1"/>
  <c r="P165" i="83"/>
  <c r="P37" i="71" s="1"/>
  <c r="P142" i="71" s="1"/>
  <c r="S136" i="83"/>
  <c r="V165" i="83"/>
  <c r="V37" i="71" s="1"/>
  <c r="V142" i="71" s="1"/>
  <c r="U136" i="83"/>
  <c r="J136" i="83"/>
  <c r="J138" i="72" s="1"/>
  <c r="J208" i="72" s="1"/>
  <c r="J238" i="72" s="1"/>
  <c r="S194" i="83"/>
  <c r="S67" i="71" s="1"/>
  <c r="S172" i="71" s="1"/>
  <c r="V194" i="83"/>
  <c r="V67" i="71" s="1"/>
  <c r="V172" i="71" s="1"/>
  <c r="K223" i="83"/>
  <c r="K97" i="71" s="1"/>
  <c r="K202" i="71" s="1"/>
  <c r="Q223" i="83"/>
  <c r="Q97" i="71" s="1"/>
  <c r="Q202" i="71" s="1"/>
  <c r="P223" i="83"/>
  <c r="P97" i="71" s="1"/>
  <c r="P202" i="71" s="1"/>
  <c r="X165" i="83"/>
  <c r="X37" i="71" s="1"/>
  <c r="X142" i="71" s="1"/>
  <c r="S165" i="83"/>
  <c r="S37" i="71" s="1"/>
  <c r="S142" i="71" s="1"/>
  <c r="T223" i="83"/>
  <c r="T97" i="71" s="1"/>
  <c r="T202" i="71" s="1"/>
  <c r="Y165" i="83"/>
  <c r="Y37" i="71" s="1"/>
  <c r="Y142" i="71" s="1"/>
  <c r="O165" i="83"/>
  <c r="O37" i="71" s="1"/>
  <c r="O142" i="71" s="1"/>
  <c r="N223" i="83"/>
  <c r="N97" i="71" s="1"/>
  <c r="N202" i="71" s="1"/>
  <c r="R165" i="83"/>
  <c r="R37" i="71" s="1"/>
  <c r="R142" i="71" s="1"/>
  <c r="S223" i="83"/>
  <c r="S97" i="71" s="1"/>
  <c r="S202" i="71" s="1"/>
  <c r="K194" i="83"/>
  <c r="K67" i="71" s="1"/>
  <c r="K172" i="71" s="1"/>
  <c r="L194" i="83"/>
  <c r="L67" i="71" s="1"/>
  <c r="L172" i="71" s="1"/>
  <c r="O223" i="83"/>
  <c r="O97" i="71" s="1"/>
  <c r="O202" i="71" s="1"/>
  <c r="U194" i="83"/>
  <c r="U67" i="71" s="1"/>
  <c r="U172" i="71" s="1"/>
  <c r="U223" i="83"/>
  <c r="U97" i="71" s="1"/>
  <c r="U202" i="71" s="1"/>
  <c r="Q194" i="83"/>
  <c r="Q67" i="71" s="1"/>
  <c r="Q172" i="71" s="1"/>
  <c r="N136" i="83"/>
  <c r="N138" i="72" s="1"/>
  <c r="N208" i="72" s="1"/>
  <c r="N238" i="72" s="1"/>
  <c r="N194" i="83"/>
  <c r="N67" i="71" s="1"/>
  <c r="N172" i="71" s="1"/>
  <c r="X136" i="83"/>
  <c r="K136" i="83"/>
  <c r="K138" i="72" s="1"/>
  <c r="K208" i="72" s="1"/>
  <c r="K238" i="72" s="1"/>
  <c r="L165" i="83"/>
  <c r="L37" i="71" s="1"/>
  <c r="L142" i="71" s="1"/>
  <c r="M165" i="83"/>
  <c r="M37" i="71" s="1"/>
  <c r="M142" i="71" s="1"/>
  <c r="J165" i="83"/>
  <c r="J37" i="71" s="1"/>
  <c r="J142" i="71" s="1"/>
  <c r="M194" i="83"/>
  <c r="M67" i="71" s="1"/>
  <c r="M172" i="71" s="1"/>
  <c r="L136" i="83"/>
  <c r="L138" i="72" s="1"/>
  <c r="L208" i="72" s="1"/>
  <c r="L238" i="72" s="1"/>
  <c r="M136" i="83"/>
  <c r="M138" i="72" s="1"/>
  <c r="M208" i="72" s="1"/>
  <c r="M238" i="72" s="1"/>
  <c r="Q136" i="83"/>
  <c r="Q138" i="72" s="1"/>
  <c r="Q208" i="72" s="1"/>
  <c r="Q238" i="72" s="1"/>
  <c r="Y194" i="83"/>
  <c r="Y67" i="71" s="1"/>
  <c r="Y172" i="71" s="1"/>
  <c r="L223" i="83"/>
  <c r="L97" i="71" s="1"/>
  <c r="L202" i="71" s="1"/>
  <c r="W223" i="83"/>
  <c r="W97" i="71" s="1"/>
  <c r="W202" i="71" s="1"/>
  <c r="Q165" i="83"/>
  <c r="Q37" i="71" s="1"/>
  <c r="Q142" i="71" s="1"/>
  <c r="P136" i="83"/>
  <c r="P138" i="72" s="1"/>
  <c r="P208" i="72" s="1"/>
  <c r="P238" i="72" s="1"/>
  <c r="R198" i="83"/>
  <c r="R71" i="71" s="1"/>
  <c r="R176" i="71" s="1"/>
  <c r="X198" i="83"/>
  <c r="X71" i="71" s="1"/>
  <c r="X176" i="71" s="1"/>
  <c r="U227" i="83"/>
  <c r="U101" i="71" s="1"/>
  <c r="U206" i="71" s="1"/>
  <c r="J169" i="83"/>
  <c r="J41" i="71" s="1"/>
  <c r="J146" i="71" s="1"/>
  <c r="N140" i="83"/>
  <c r="N142" i="72" s="1"/>
  <c r="N212" i="72" s="1"/>
  <c r="N242" i="72" s="1"/>
  <c r="O198" i="83"/>
  <c r="O71" i="71" s="1"/>
  <c r="O176" i="71" s="1"/>
  <c r="T140" i="83"/>
  <c r="R169" i="83"/>
  <c r="R41" i="71" s="1"/>
  <c r="R146" i="71" s="1"/>
  <c r="R140" i="83"/>
  <c r="J198" i="83"/>
  <c r="J71" i="71" s="1"/>
  <c r="J176" i="71" s="1"/>
  <c r="S169" i="83"/>
  <c r="S41" i="71" s="1"/>
  <c r="S146" i="71" s="1"/>
  <c r="V198" i="83"/>
  <c r="V71" i="71" s="1"/>
  <c r="V176" i="71" s="1"/>
  <c r="W169" i="83"/>
  <c r="W41" i="71" s="1"/>
  <c r="W146" i="71" s="1"/>
  <c r="N169" i="83"/>
  <c r="N41" i="71" s="1"/>
  <c r="N146" i="71" s="1"/>
  <c r="S198" i="83"/>
  <c r="S71" i="71" s="1"/>
  <c r="S176" i="71" s="1"/>
  <c r="M169" i="83"/>
  <c r="M41" i="71" s="1"/>
  <c r="M146" i="71" s="1"/>
  <c r="M227" i="83"/>
  <c r="M101" i="71" s="1"/>
  <c r="M206" i="71" s="1"/>
  <c r="M140" i="83"/>
  <c r="M142" i="72" s="1"/>
  <c r="M212" i="72" s="1"/>
  <c r="M242" i="72" s="1"/>
  <c r="Y198" i="83"/>
  <c r="Y71" i="71" s="1"/>
  <c r="Y176" i="71" s="1"/>
  <c r="T227" i="83"/>
  <c r="T101" i="71" s="1"/>
  <c r="T206" i="71" s="1"/>
  <c r="P227" i="83"/>
  <c r="P101" i="71" s="1"/>
  <c r="P206" i="71" s="1"/>
  <c r="T198" i="83"/>
  <c r="T71" i="71" s="1"/>
  <c r="T176" i="71" s="1"/>
  <c r="W140" i="83"/>
  <c r="S227" i="83"/>
  <c r="S101" i="71" s="1"/>
  <c r="S206" i="71" s="1"/>
  <c r="O169" i="83"/>
  <c r="O41" i="71" s="1"/>
  <c r="O146" i="71" s="1"/>
  <c r="L227" i="83"/>
  <c r="L101" i="71" s="1"/>
  <c r="L206" i="71" s="1"/>
  <c r="K198" i="83"/>
  <c r="K71" i="71" s="1"/>
  <c r="K176" i="71" s="1"/>
  <c r="Q169" i="83"/>
  <c r="Q41" i="71" s="1"/>
  <c r="Q146" i="71" s="1"/>
  <c r="O227" i="83"/>
  <c r="O101" i="71" s="1"/>
  <c r="O206" i="71" s="1"/>
  <c r="N227" i="83"/>
  <c r="N101" i="71" s="1"/>
  <c r="N206" i="71" s="1"/>
  <c r="Y227" i="83"/>
  <c r="Y101" i="71" s="1"/>
  <c r="Y206" i="71" s="1"/>
  <c r="O140" i="83"/>
  <c r="O142" i="72" s="1"/>
  <c r="O212" i="72" s="1"/>
  <c r="O242" i="72" s="1"/>
  <c r="J140" i="83"/>
  <c r="J142" i="72" s="1"/>
  <c r="J212" i="72" s="1"/>
  <c r="J242" i="72" s="1"/>
  <c r="Q140" i="83"/>
  <c r="Q142" i="72" s="1"/>
  <c r="Q212" i="72" s="1"/>
  <c r="Q242" i="72" s="1"/>
  <c r="K140" i="83"/>
  <c r="K142" i="72" s="1"/>
  <c r="K212" i="72" s="1"/>
  <c r="K242" i="72" s="1"/>
  <c r="W227" i="83"/>
  <c r="W101" i="71" s="1"/>
  <c r="W206" i="71" s="1"/>
  <c r="S140" i="83"/>
  <c r="X169" i="83"/>
  <c r="X41" i="71" s="1"/>
  <c r="X146" i="71" s="1"/>
  <c r="X140" i="83"/>
  <c r="X227" i="83"/>
  <c r="X101" i="71" s="1"/>
  <c r="X206" i="71" s="1"/>
  <c r="L198" i="83"/>
  <c r="L71" i="71" s="1"/>
  <c r="L176" i="71" s="1"/>
  <c r="U198" i="83"/>
  <c r="U71" i="71" s="1"/>
  <c r="U176" i="71" s="1"/>
  <c r="R227" i="83"/>
  <c r="R101" i="71" s="1"/>
  <c r="R206" i="71" s="1"/>
  <c r="V140" i="83"/>
  <c r="P198" i="83"/>
  <c r="P71" i="71" s="1"/>
  <c r="P176" i="71" s="1"/>
  <c r="P169" i="83"/>
  <c r="P41" i="71" s="1"/>
  <c r="P146" i="71" s="1"/>
  <c r="M198" i="83"/>
  <c r="M71" i="71" s="1"/>
  <c r="M176" i="71" s="1"/>
  <c r="P140" i="83"/>
  <c r="P142" i="72" s="1"/>
  <c r="P212" i="72" s="1"/>
  <c r="P242" i="72" s="1"/>
  <c r="Q198" i="83"/>
  <c r="Q71" i="71" s="1"/>
  <c r="Q176" i="71" s="1"/>
  <c r="N198" i="83"/>
  <c r="N71" i="71" s="1"/>
  <c r="N176" i="71" s="1"/>
  <c r="Y140" i="83"/>
  <c r="L169" i="83"/>
  <c r="L41" i="71" s="1"/>
  <c r="L146" i="71" s="1"/>
  <c r="L140" i="83"/>
  <c r="L142" i="72" s="1"/>
  <c r="L212" i="72" s="1"/>
  <c r="L242" i="72" s="1"/>
  <c r="Y169" i="83"/>
  <c r="Y41" i="71" s="1"/>
  <c r="Y146" i="71" s="1"/>
  <c r="U140" i="83"/>
  <c r="U169" i="83"/>
  <c r="U41" i="71" s="1"/>
  <c r="U146" i="71" s="1"/>
  <c r="J227" i="83"/>
  <c r="J101" i="71" s="1"/>
  <c r="J206" i="71" s="1"/>
  <c r="T169" i="83"/>
  <c r="T41" i="71" s="1"/>
  <c r="T146" i="71" s="1"/>
  <c r="V227" i="83"/>
  <c r="V101" i="71" s="1"/>
  <c r="V206" i="71" s="1"/>
  <c r="V169" i="83"/>
  <c r="V41" i="71" s="1"/>
  <c r="V146" i="71" s="1"/>
  <c r="K169" i="83"/>
  <c r="K41" i="71" s="1"/>
  <c r="K146" i="71" s="1"/>
  <c r="W198" i="83"/>
  <c r="W71" i="71" s="1"/>
  <c r="W176" i="71" s="1"/>
  <c r="Q227" i="83"/>
  <c r="Q101" i="71" s="1"/>
  <c r="Q206" i="71" s="1"/>
  <c r="K227" i="83"/>
  <c r="K101" i="71" s="1"/>
  <c r="K206" i="71" s="1"/>
  <c r="R181" i="72"/>
  <c r="R216" i="72" s="1"/>
  <c r="R246" i="72" s="1"/>
  <c r="X181" i="72"/>
  <c r="X216" i="72" s="1"/>
  <c r="X246" i="72" s="1"/>
  <c r="Y181" i="72"/>
  <c r="Y216" i="72" s="1"/>
  <c r="Y246" i="72" s="1"/>
  <c r="U181" i="72"/>
  <c r="U216" i="72" s="1"/>
  <c r="U246" i="72" s="1"/>
  <c r="W181" i="72"/>
  <c r="W216" i="72" s="1"/>
  <c r="W246" i="72" s="1"/>
  <c r="V181" i="72"/>
  <c r="V216" i="72" s="1"/>
  <c r="V246" i="72" s="1"/>
  <c r="T181" i="72"/>
  <c r="T216" i="72" s="1"/>
  <c r="T246" i="72" s="1"/>
  <c r="S181" i="72"/>
  <c r="S216" i="72" s="1"/>
  <c r="S246" i="72" s="1"/>
  <c r="T178" i="72"/>
  <c r="T213" i="72" s="1"/>
  <c r="T243" i="72" s="1"/>
  <c r="R178" i="72"/>
  <c r="R213" i="72" s="1"/>
  <c r="R243" i="72" s="1"/>
  <c r="S178" i="72"/>
  <c r="S213" i="72" s="1"/>
  <c r="S243" i="72" s="1"/>
  <c r="W178" i="72"/>
  <c r="W213" i="72" s="1"/>
  <c r="W243" i="72" s="1"/>
  <c r="X178" i="72"/>
  <c r="X213" i="72" s="1"/>
  <c r="X243" i="72" s="1"/>
  <c r="V178" i="72"/>
  <c r="V213" i="72" s="1"/>
  <c r="V243" i="72" s="1"/>
  <c r="Y178" i="72"/>
  <c r="Y213" i="72" s="1"/>
  <c r="Y243" i="72" s="1"/>
  <c r="U178" i="72"/>
  <c r="U213" i="72" s="1"/>
  <c r="U243" i="72" s="1"/>
  <c r="K177" i="73"/>
  <c r="K237" i="73" s="1"/>
  <c r="Q177" i="73"/>
  <c r="Q237" i="73" s="1"/>
  <c r="J147" i="73"/>
  <c r="K147" i="73"/>
  <c r="O177" i="73"/>
  <c r="O237" i="73" s="1"/>
  <c r="N147" i="73"/>
  <c r="M147" i="73"/>
  <c r="J177" i="73"/>
  <c r="J237" i="73" s="1"/>
  <c r="P177" i="73"/>
  <c r="P237" i="73" s="1"/>
  <c r="P147" i="73"/>
  <c r="L147" i="73"/>
  <c r="M177" i="73"/>
  <c r="M237" i="73" s="1"/>
  <c r="O147" i="73"/>
  <c r="L177" i="73"/>
  <c r="L237" i="73" s="1"/>
  <c r="N177" i="73"/>
  <c r="N237" i="73" s="1"/>
  <c r="Q147" i="73"/>
  <c r="K181" i="73"/>
  <c r="K241" i="73" s="1"/>
  <c r="L151" i="73"/>
  <c r="O151" i="73"/>
  <c r="P151" i="73"/>
  <c r="P181" i="73"/>
  <c r="P241" i="73" s="1"/>
  <c r="N181" i="73"/>
  <c r="N241" i="73" s="1"/>
  <c r="K151" i="73"/>
  <c r="M151" i="73"/>
  <c r="L181" i="73"/>
  <c r="L241" i="73" s="1"/>
  <c r="M181" i="73"/>
  <c r="M241" i="73" s="1"/>
  <c r="O181" i="73"/>
  <c r="O241" i="73" s="1"/>
  <c r="Q151" i="73"/>
  <c r="N151" i="73"/>
  <c r="J181" i="73"/>
  <c r="J241" i="73" s="1"/>
  <c r="Q181" i="73"/>
  <c r="Q241" i="73" s="1"/>
  <c r="J151" i="73"/>
  <c r="S231" i="83"/>
  <c r="S105" i="71" s="1"/>
  <c r="S210" i="71" s="1"/>
  <c r="M231" i="83"/>
  <c r="M105" i="71" s="1"/>
  <c r="M210" i="71" s="1"/>
  <c r="J202" i="83"/>
  <c r="J75" i="71" s="1"/>
  <c r="J180" i="71" s="1"/>
  <c r="U231" i="83"/>
  <c r="U105" i="71" s="1"/>
  <c r="U210" i="71" s="1"/>
  <c r="U173" i="83"/>
  <c r="U45" i="71" s="1"/>
  <c r="U150" i="71" s="1"/>
  <c r="J144" i="83"/>
  <c r="J146" i="72" s="1"/>
  <c r="J216" i="72" s="1"/>
  <c r="J246" i="72" s="1"/>
  <c r="T231" i="83"/>
  <c r="T105" i="71" s="1"/>
  <c r="T210" i="71" s="1"/>
  <c r="N144" i="83"/>
  <c r="N146" i="72" s="1"/>
  <c r="N216" i="72" s="1"/>
  <c r="N246" i="72" s="1"/>
  <c r="X173" i="83"/>
  <c r="X45" i="71" s="1"/>
  <c r="X150" i="71" s="1"/>
  <c r="Q173" i="83"/>
  <c r="Q45" i="71" s="1"/>
  <c r="Q150" i="71" s="1"/>
  <c r="M202" i="83"/>
  <c r="M75" i="71" s="1"/>
  <c r="M180" i="71" s="1"/>
  <c r="R202" i="83"/>
  <c r="R75" i="71" s="1"/>
  <c r="R180" i="71" s="1"/>
  <c r="U144" i="83"/>
  <c r="M173" i="83"/>
  <c r="M45" i="71" s="1"/>
  <c r="M150" i="71" s="1"/>
  <c r="P231" i="83"/>
  <c r="P105" i="71" s="1"/>
  <c r="P210" i="71" s="1"/>
  <c r="W231" i="83"/>
  <c r="W105" i="71" s="1"/>
  <c r="W210" i="71" s="1"/>
  <c r="O173" i="83"/>
  <c r="O45" i="71" s="1"/>
  <c r="O150" i="71" s="1"/>
  <c r="Y231" i="83"/>
  <c r="Y105" i="71" s="1"/>
  <c r="Y210" i="71" s="1"/>
  <c r="S144" i="83"/>
  <c r="U202" i="83"/>
  <c r="U75" i="71" s="1"/>
  <c r="U180" i="71" s="1"/>
  <c r="W173" i="83"/>
  <c r="W45" i="71" s="1"/>
  <c r="W150" i="71" s="1"/>
  <c r="J173" i="83"/>
  <c r="J45" i="71" s="1"/>
  <c r="J150" i="71" s="1"/>
  <c r="X231" i="83"/>
  <c r="X105" i="71" s="1"/>
  <c r="X210" i="71" s="1"/>
  <c r="X202" i="83"/>
  <c r="X75" i="71" s="1"/>
  <c r="X180" i="71" s="1"/>
  <c r="P173" i="83"/>
  <c r="P45" i="71" s="1"/>
  <c r="P150" i="71" s="1"/>
  <c r="T173" i="83"/>
  <c r="T45" i="71" s="1"/>
  <c r="T150" i="71" s="1"/>
  <c r="N173" i="83"/>
  <c r="N45" i="71" s="1"/>
  <c r="N150" i="71" s="1"/>
  <c r="Q144" i="83"/>
  <c r="Q146" i="72" s="1"/>
  <c r="Q216" i="72" s="1"/>
  <c r="Q246" i="72" s="1"/>
  <c r="L231" i="83"/>
  <c r="L105" i="71" s="1"/>
  <c r="L210" i="71" s="1"/>
  <c r="T144" i="83"/>
  <c r="R231" i="83"/>
  <c r="R105" i="71" s="1"/>
  <c r="R210" i="71" s="1"/>
  <c r="X144" i="83"/>
  <c r="O231" i="83"/>
  <c r="O105" i="71" s="1"/>
  <c r="O210" i="71" s="1"/>
  <c r="M144" i="83"/>
  <c r="M146" i="72" s="1"/>
  <c r="M216" i="72" s="1"/>
  <c r="M246" i="72" s="1"/>
  <c r="J231" i="83"/>
  <c r="J105" i="71" s="1"/>
  <c r="J210" i="71" s="1"/>
  <c r="L144" i="83"/>
  <c r="L146" i="72" s="1"/>
  <c r="L216" i="72" s="1"/>
  <c r="L246" i="72" s="1"/>
  <c r="V144" i="83"/>
  <c r="V202" i="83"/>
  <c r="V75" i="71" s="1"/>
  <c r="V180" i="71" s="1"/>
  <c r="O202" i="83"/>
  <c r="O75" i="71" s="1"/>
  <c r="O180" i="71" s="1"/>
  <c r="Y173" i="83"/>
  <c r="Y45" i="71" s="1"/>
  <c r="Y150" i="71" s="1"/>
  <c r="P202" i="83"/>
  <c r="P75" i="71" s="1"/>
  <c r="P180" i="71" s="1"/>
  <c r="W144" i="83"/>
  <c r="R144" i="83"/>
  <c r="P144" i="83"/>
  <c r="P146" i="72" s="1"/>
  <c r="P216" i="72" s="1"/>
  <c r="P246" i="72" s="1"/>
  <c r="T202" i="83"/>
  <c r="T75" i="71" s="1"/>
  <c r="T180" i="71" s="1"/>
  <c r="Q202" i="83"/>
  <c r="Q75" i="71" s="1"/>
  <c r="Q180" i="71" s="1"/>
  <c r="N202" i="83"/>
  <c r="N75" i="71" s="1"/>
  <c r="N180" i="71" s="1"/>
  <c r="L202" i="83"/>
  <c r="L75" i="71" s="1"/>
  <c r="L180" i="71" s="1"/>
  <c r="V231" i="83"/>
  <c r="V105" i="71" s="1"/>
  <c r="V210" i="71" s="1"/>
  <c r="S173" i="83"/>
  <c r="S45" i="71" s="1"/>
  <c r="S150" i="71" s="1"/>
  <c r="V173" i="83"/>
  <c r="V45" i="71" s="1"/>
  <c r="V150" i="71" s="1"/>
  <c r="K144" i="83"/>
  <c r="K146" i="72" s="1"/>
  <c r="K216" i="72" s="1"/>
  <c r="K246" i="72" s="1"/>
  <c r="Y202" i="83"/>
  <c r="Y75" i="71" s="1"/>
  <c r="Y180" i="71" s="1"/>
  <c r="K202" i="83"/>
  <c r="K75" i="71" s="1"/>
  <c r="K180" i="71" s="1"/>
  <c r="S202" i="83"/>
  <c r="S75" i="71" s="1"/>
  <c r="S180" i="71" s="1"/>
  <c r="K173" i="83"/>
  <c r="K45" i="71" s="1"/>
  <c r="K150" i="71" s="1"/>
  <c r="L173" i="83"/>
  <c r="L45" i="71" s="1"/>
  <c r="L150" i="71" s="1"/>
  <c r="Q231" i="83"/>
  <c r="Q105" i="71" s="1"/>
  <c r="Q210" i="71" s="1"/>
  <c r="W202" i="83"/>
  <c r="W75" i="71" s="1"/>
  <c r="W180" i="71" s="1"/>
  <c r="O144" i="83"/>
  <c r="O146" i="72" s="1"/>
  <c r="O216" i="72" s="1"/>
  <c r="O246" i="72" s="1"/>
  <c r="K231" i="83"/>
  <c r="K105" i="71" s="1"/>
  <c r="K210" i="71" s="1"/>
  <c r="N231" i="83"/>
  <c r="N105" i="71" s="1"/>
  <c r="N210" i="71" s="1"/>
  <c r="R173" i="83"/>
  <c r="R45" i="71" s="1"/>
  <c r="R150" i="71" s="1"/>
  <c r="Y144" i="83"/>
  <c r="J225" i="83"/>
  <c r="J99" i="71" s="1"/>
  <c r="J204" i="71" s="1"/>
  <c r="M138" i="83"/>
  <c r="M140" i="72" s="1"/>
  <c r="M210" i="72" s="1"/>
  <c r="M240" i="72" s="1"/>
  <c r="W225" i="83"/>
  <c r="W99" i="71" s="1"/>
  <c r="W204" i="71" s="1"/>
  <c r="K196" i="83"/>
  <c r="K69" i="71" s="1"/>
  <c r="K174" i="71" s="1"/>
  <c r="J196" i="83"/>
  <c r="J69" i="71" s="1"/>
  <c r="J174" i="71" s="1"/>
  <c r="M196" i="83"/>
  <c r="M69" i="71" s="1"/>
  <c r="M174" i="71" s="1"/>
  <c r="T167" i="83"/>
  <c r="T39" i="71" s="1"/>
  <c r="T144" i="71" s="1"/>
  <c r="S196" i="83"/>
  <c r="S69" i="71" s="1"/>
  <c r="S174" i="71" s="1"/>
  <c r="S167" i="83"/>
  <c r="S39" i="71" s="1"/>
  <c r="S144" i="71" s="1"/>
  <c r="R138" i="83"/>
  <c r="L225" i="83"/>
  <c r="L99" i="71" s="1"/>
  <c r="L204" i="71" s="1"/>
  <c r="Y196" i="83"/>
  <c r="Y69" i="71" s="1"/>
  <c r="Y174" i="71" s="1"/>
  <c r="T138" i="83"/>
  <c r="O225" i="83"/>
  <c r="O99" i="71" s="1"/>
  <c r="O204" i="71" s="1"/>
  <c r="N167" i="83"/>
  <c r="N39" i="71" s="1"/>
  <c r="N144" i="71" s="1"/>
  <c r="U138" i="83"/>
  <c r="K138" i="83"/>
  <c r="K140" i="72" s="1"/>
  <c r="K210" i="72" s="1"/>
  <c r="K240" i="72" s="1"/>
  <c r="S225" i="83"/>
  <c r="S99" i="71" s="1"/>
  <c r="S204" i="71" s="1"/>
  <c r="K167" i="83"/>
  <c r="K39" i="71" s="1"/>
  <c r="K144" i="71" s="1"/>
  <c r="O196" i="83"/>
  <c r="O69" i="71" s="1"/>
  <c r="O174" i="71" s="1"/>
  <c r="M167" i="83"/>
  <c r="M39" i="71" s="1"/>
  <c r="M144" i="71" s="1"/>
  <c r="W196" i="83"/>
  <c r="W69" i="71" s="1"/>
  <c r="W174" i="71" s="1"/>
  <c r="X167" i="83"/>
  <c r="X39" i="71" s="1"/>
  <c r="X144" i="71" s="1"/>
  <c r="Y225" i="83"/>
  <c r="Y99" i="71" s="1"/>
  <c r="Y204" i="71" s="1"/>
  <c r="X225" i="83"/>
  <c r="X99" i="71" s="1"/>
  <c r="X204" i="71" s="1"/>
  <c r="P167" i="83"/>
  <c r="P39" i="71" s="1"/>
  <c r="P144" i="71" s="1"/>
  <c r="X196" i="83"/>
  <c r="X69" i="71" s="1"/>
  <c r="X174" i="71" s="1"/>
  <c r="L167" i="83"/>
  <c r="L39" i="71" s="1"/>
  <c r="L144" i="71" s="1"/>
  <c r="V196" i="83"/>
  <c r="V69" i="71" s="1"/>
  <c r="V174" i="71" s="1"/>
  <c r="Y138" i="83"/>
  <c r="U167" i="83"/>
  <c r="U39" i="71" s="1"/>
  <c r="U144" i="71" s="1"/>
  <c r="M225" i="83"/>
  <c r="M99" i="71" s="1"/>
  <c r="M204" i="71" s="1"/>
  <c r="L138" i="83"/>
  <c r="L140" i="72" s="1"/>
  <c r="L210" i="72" s="1"/>
  <c r="L240" i="72" s="1"/>
  <c r="L196" i="83"/>
  <c r="L69" i="71" s="1"/>
  <c r="L174" i="71" s="1"/>
  <c r="X138" i="83"/>
  <c r="O167" i="83"/>
  <c r="O39" i="71" s="1"/>
  <c r="O144" i="71" s="1"/>
  <c r="Y167" i="83"/>
  <c r="Y39" i="71" s="1"/>
  <c r="Y144" i="71" s="1"/>
  <c r="Q225" i="83"/>
  <c r="Q99" i="71" s="1"/>
  <c r="Q204" i="71" s="1"/>
  <c r="O138" i="83"/>
  <c r="O140" i="72" s="1"/>
  <c r="O210" i="72" s="1"/>
  <c r="O240" i="72" s="1"/>
  <c r="P225" i="83"/>
  <c r="P99" i="71" s="1"/>
  <c r="P204" i="71" s="1"/>
  <c r="U225" i="83"/>
  <c r="U99" i="71" s="1"/>
  <c r="U204" i="71" s="1"/>
  <c r="Q138" i="83"/>
  <c r="Q140" i="72" s="1"/>
  <c r="Q210" i="72" s="1"/>
  <c r="Q240" i="72" s="1"/>
  <c r="T196" i="83"/>
  <c r="T69" i="71" s="1"/>
  <c r="T174" i="71" s="1"/>
  <c r="V225" i="83"/>
  <c r="V99" i="71" s="1"/>
  <c r="V204" i="71" s="1"/>
  <c r="W138" i="83"/>
  <c r="Q167" i="83"/>
  <c r="Q39" i="71" s="1"/>
  <c r="Q144" i="71" s="1"/>
  <c r="R167" i="83"/>
  <c r="R39" i="71" s="1"/>
  <c r="R144" i="71" s="1"/>
  <c r="U196" i="83"/>
  <c r="U69" i="71" s="1"/>
  <c r="U174" i="71" s="1"/>
  <c r="P196" i="83"/>
  <c r="P69" i="71" s="1"/>
  <c r="P174" i="71" s="1"/>
  <c r="K225" i="83"/>
  <c r="K99" i="71" s="1"/>
  <c r="K204" i="71" s="1"/>
  <c r="N196" i="83"/>
  <c r="N69" i="71" s="1"/>
  <c r="N174" i="71" s="1"/>
  <c r="N225" i="83"/>
  <c r="N99" i="71" s="1"/>
  <c r="N204" i="71" s="1"/>
  <c r="J138" i="83"/>
  <c r="J140" i="72" s="1"/>
  <c r="J210" i="72" s="1"/>
  <c r="J240" i="72" s="1"/>
  <c r="R196" i="83"/>
  <c r="R69" i="71" s="1"/>
  <c r="R174" i="71" s="1"/>
  <c r="R225" i="83"/>
  <c r="R99" i="71" s="1"/>
  <c r="R204" i="71" s="1"/>
  <c r="J167" i="83"/>
  <c r="J39" i="71" s="1"/>
  <c r="J144" i="71" s="1"/>
  <c r="Q196" i="83"/>
  <c r="Q69" i="71" s="1"/>
  <c r="Q174" i="71" s="1"/>
  <c r="W167" i="83"/>
  <c r="W39" i="71" s="1"/>
  <c r="W144" i="71" s="1"/>
  <c r="V167" i="83"/>
  <c r="V39" i="71" s="1"/>
  <c r="V144" i="71" s="1"/>
  <c r="N138" i="83"/>
  <c r="N140" i="72" s="1"/>
  <c r="N210" i="72" s="1"/>
  <c r="N240" i="72" s="1"/>
  <c r="T225" i="83"/>
  <c r="T99" i="71" s="1"/>
  <c r="T204" i="71" s="1"/>
  <c r="P138" i="83"/>
  <c r="P140" i="72" s="1"/>
  <c r="P210" i="72" s="1"/>
  <c r="P240" i="72" s="1"/>
  <c r="V138" i="83"/>
  <c r="S138" i="83"/>
  <c r="J137" i="83"/>
  <c r="J139" i="72" s="1"/>
  <c r="J209" i="72" s="1"/>
  <c r="J239" i="72" s="1"/>
  <c r="J195" i="83"/>
  <c r="J68" i="71" s="1"/>
  <c r="J173" i="71" s="1"/>
  <c r="T195" i="83"/>
  <c r="T68" i="71" s="1"/>
  <c r="T173" i="71" s="1"/>
  <c r="S166" i="83"/>
  <c r="S38" i="71" s="1"/>
  <c r="S143" i="71" s="1"/>
  <c r="O195" i="83"/>
  <c r="O68" i="71" s="1"/>
  <c r="O173" i="71" s="1"/>
  <c r="Q137" i="83"/>
  <c r="Q139" i="72" s="1"/>
  <c r="Q209" i="72" s="1"/>
  <c r="Q239" i="72" s="1"/>
  <c r="Q166" i="83"/>
  <c r="Q38" i="71" s="1"/>
  <c r="Q143" i="71" s="1"/>
  <c r="V224" i="83"/>
  <c r="V98" i="71" s="1"/>
  <c r="V203" i="71" s="1"/>
  <c r="K166" i="83"/>
  <c r="K38" i="71" s="1"/>
  <c r="K143" i="71" s="1"/>
  <c r="V166" i="83"/>
  <c r="V38" i="71" s="1"/>
  <c r="V143" i="71" s="1"/>
  <c r="R137" i="83"/>
  <c r="Y137" i="83"/>
  <c r="J166" i="83"/>
  <c r="J38" i="71" s="1"/>
  <c r="J143" i="71" s="1"/>
  <c r="K195" i="83"/>
  <c r="K68" i="71" s="1"/>
  <c r="K173" i="71" s="1"/>
  <c r="V137" i="83"/>
  <c r="N166" i="83"/>
  <c r="N38" i="71" s="1"/>
  <c r="N143" i="71" s="1"/>
  <c r="V195" i="83"/>
  <c r="V68" i="71" s="1"/>
  <c r="V173" i="71" s="1"/>
  <c r="Q195" i="83"/>
  <c r="Q68" i="71" s="1"/>
  <c r="Q173" i="71" s="1"/>
  <c r="L195" i="83"/>
  <c r="L68" i="71" s="1"/>
  <c r="L173" i="71" s="1"/>
  <c r="O166" i="83"/>
  <c r="O38" i="71" s="1"/>
  <c r="O143" i="71" s="1"/>
  <c r="R224" i="83"/>
  <c r="R98" i="71" s="1"/>
  <c r="R203" i="71" s="1"/>
  <c r="W224" i="83"/>
  <c r="W98" i="71" s="1"/>
  <c r="W203" i="71" s="1"/>
  <c r="T137" i="83"/>
  <c r="L166" i="83"/>
  <c r="L38" i="71" s="1"/>
  <c r="L143" i="71" s="1"/>
  <c r="W195" i="83"/>
  <c r="W68" i="71" s="1"/>
  <c r="W173" i="71" s="1"/>
  <c r="N137" i="83"/>
  <c r="N139" i="72" s="1"/>
  <c r="N209" i="72" s="1"/>
  <c r="N239" i="72" s="1"/>
  <c r="O137" i="83"/>
  <c r="O139" i="72" s="1"/>
  <c r="O209" i="72" s="1"/>
  <c r="O239" i="72" s="1"/>
  <c r="P137" i="83"/>
  <c r="P139" i="72" s="1"/>
  <c r="P209" i="72" s="1"/>
  <c r="P239" i="72" s="1"/>
  <c r="P224" i="83"/>
  <c r="P98" i="71" s="1"/>
  <c r="P203" i="71" s="1"/>
  <c r="U166" i="83"/>
  <c r="U38" i="71" s="1"/>
  <c r="U143" i="71" s="1"/>
  <c r="R195" i="83"/>
  <c r="R68" i="71" s="1"/>
  <c r="R173" i="71" s="1"/>
  <c r="S195" i="83"/>
  <c r="S68" i="71" s="1"/>
  <c r="S173" i="71" s="1"/>
  <c r="X166" i="83"/>
  <c r="X38" i="71" s="1"/>
  <c r="X143" i="71" s="1"/>
  <c r="M166" i="83"/>
  <c r="M38" i="71" s="1"/>
  <c r="M143" i="71" s="1"/>
  <c r="M224" i="83"/>
  <c r="M98" i="71" s="1"/>
  <c r="M203" i="71" s="1"/>
  <c r="U224" i="83"/>
  <c r="U98" i="71" s="1"/>
  <c r="U203" i="71" s="1"/>
  <c r="N224" i="83"/>
  <c r="N98" i="71" s="1"/>
  <c r="N203" i="71" s="1"/>
  <c r="M195" i="83"/>
  <c r="M68" i="71" s="1"/>
  <c r="M173" i="71" s="1"/>
  <c r="X224" i="83"/>
  <c r="X98" i="71" s="1"/>
  <c r="X203" i="71" s="1"/>
  <c r="Y224" i="83"/>
  <c r="Y98" i="71" s="1"/>
  <c r="Y203" i="71" s="1"/>
  <c r="P166" i="83"/>
  <c r="P38" i="71" s="1"/>
  <c r="P143" i="71" s="1"/>
  <c r="R166" i="83"/>
  <c r="R38" i="71" s="1"/>
  <c r="R143" i="71" s="1"/>
  <c r="J224" i="83"/>
  <c r="J98" i="71" s="1"/>
  <c r="J203" i="71" s="1"/>
  <c r="P195" i="83"/>
  <c r="P68" i="71" s="1"/>
  <c r="P173" i="71" s="1"/>
  <c r="W137" i="83"/>
  <c r="Q224" i="83"/>
  <c r="Q98" i="71" s="1"/>
  <c r="Q203" i="71" s="1"/>
  <c r="N195" i="83"/>
  <c r="N68" i="71" s="1"/>
  <c r="N173" i="71" s="1"/>
  <c r="U137" i="83"/>
  <c r="L137" i="83"/>
  <c r="L139" i="72" s="1"/>
  <c r="L209" i="72" s="1"/>
  <c r="L239" i="72" s="1"/>
  <c r="Y195" i="83"/>
  <c r="Y68" i="71" s="1"/>
  <c r="Y173" i="71" s="1"/>
  <c r="T166" i="83"/>
  <c r="T38" i="71" s="1"/>
  <c r="T143" i="71" s="1"/>
  <c r="K137" i="83"/>
  <c r="K139" i="72" s="1"/>
  <c r="K209" i="72" s="1"/>
  <c r="K239" i="72" s="1"/>
  <c r="L224" i="83"/>
  <c r="L98" i="71" s="1"/>
  <c r="L203" i="71" s="1"/>
  <c r="X195" i="83"/>
  <c r="X68" i="71" s="1"/>
  <c r="X173" i="71" s="1"/>
  <c r="U195" i="83"/>
  <c r="U68" i="71" s="1"/>
  <c r="U173" i="71" s="1"/>
  <c r="S137" i="83"/>
  <c r="X137" i="83"/>
  <c r="W166" i="83"/>
  <c r="W38" i="71" s="1"/>
  <c r="W143" i="71" s="1"/>
  <c r="Y166" i="83"/>
  <c r="Y38" i="71" s="1"/>
  <c r="Y143" i="71" s="1"/>
  <c r="T224" i="83"/>
  <c r="T98" i="71" s="1"/>
  <c r="T203" i="71" s="1"/>
  <c r="K224" i="83"/>
  <c r="K98" i="71" s="1"/>
  <c r="K203" i="71" s="1"/>
  <c r="S224" i="83"/>
  <c r="S98" i="71" s="1"/>
  <c r="S203" i="71" s="1"/>
  <c r="M137" i="83"/>
  <c r="M139" i="72" s="1"/>
  <c r="M209" i="72" s="1"/>
  <c r="M239" i="72" s="1"/>
  <c r="O224" i="83"/>
  <c r="O98" i="71" s="1"/>
  <c r="O203" i="71" s="1"/>
  <c r="S173" i="72"/>
  <c r="S208" i="72" s="1"/>
  <c r="S238" i="72" s="1"/>
  <c r="R173" i="72"/>
  <c r="R208" i="72" s="1"/>
  <c r="R238" i="72" s="1"/>
  <c r="Y173" i="72"/>
  <c r="Y208" i="72" s="1"/>
  <c r="Y238" i="72" s="1"/>
  <c r="X173" i="72"/>
  <c r="X208" i="72" s="1"/>
  <c r="X238" i="72" s="1"/>
  <c r="U173" i="72"/>
  <c r="U208" i="72" s="1"/>
  <c r="U238" i="72" s="1"/>
  <c r="T173" i="72"/>
  <c r="T208" i="72" s="1"/>
  <c r="T238" i="72" s="1"/>
  <c r="V173" i="72"/>
  <c r="V208" i="72" s="1"/>
  <c r="V238" i="72" s="1"/>
  <c r="W173" i="72"/>
  <c r="W208" i="72" s="1"/>
  <c r="W238" i="72" s="1"/>
  <c r="W177" i="72"/>
  <c r="W212" i="72" s="1"/>
  <c r="W242" i="72" s="1"/>
  <c r="U177" i="72"/>
  <c r="U212" i="72" s="1"/>
  <c r="U242" i="72" s="1"/>
  <c r="R177" i="72"/>
  <c r="R212" i="72" s="1"/>
  <c r="R242" i="72" s="1"/>
  <c r="V177" i="72"/>
  <c r="V212" i="72" s="1"/>
  <c r="V242" i="72" s="1"/>
  <c r="S177" i="72"/>
  <c r="S212" i="72" s="1"/>
  <c r="S242" i="72" s="1"/>
  <c r="X177" i="72"/>
  <c r="X212" i="72" s="1"/>
  <c r="X242" i="72" s="1"/>
  <c r="T177" i="72"/>
  <c r="T212" i="72" s="1"/>
  <c r="T242" i="72" s="1"/>
  <c r="Y177" i="72"/>
  <c r="Y212" i="72" s="1"/>
  <c r="Y242" i="72" s="1"/>
  <c r="Q180" i="73"/>
  <c r="Q240" i="73" s="1"/>
  <c r="M180" i="73"/>
  <c r="M240" i="73" s="1"/>
  <c r="M150" i="73"/>
  <c r="Q150" i="73"/>
  <c r="O180" i="73"/>
  <c r="O240" i="73" s="1"/>
  <c r="J150" i="73"/>
  <c r="O150" i="73"/>
  <c r="K150" i="73"/>
  <c r="N180" i="73"/>
  <c r="N240" i="73" s="1"/>
  <c r="P180" i="73"/>
  <c r="P240" i="73" s="1"/>
  <c r="P150" i="73"/>
  <c r="L150" i="73"/>
  <c r="L180" i="73"/>
  <c r="L240" i="73" s="1"/>
  <c r="J180" i="73"/>
  <c r="J240" i="73" s="1"/>
  <c r="N150" i="73"/>
  <c r="K180" i="73"/>
  <c r="K240" i="73" s="1"/>
  <c r="O179" i="73"/>
  <c r="O239" i="73" s="1"/>
  <c r="Q149" i="73"/>
  <c r="N149" i="73"/>
  <c r="M149" i="73"/>
  <c r="K179" i="73"/>
  <c r="K239" i="73" s="1"/>
  <c r="Q179" i="73"/>
  <c r="Q239" i="73" s="1"/>
  <c r="P179" i="73"/>
  <c r="P239" i="73" s="1"/>
  <c r="J179" i="73"/>
  <c r="J239" i="73" s="1"/>
  <c r="N179" i="73"/>
  <c r="N239" i="73" s="1"/>
  <c r="P149" i="73"/>
  <c r="O149" i="73"/>
  <c r="K149" i="73"/>
  <c r="M179" i="73"/>
  <c r="M239" i="73" s="1"/>
  <c r="L179" i="73"/>
  <c r="L239" i="73" s="1"/>
  <c r="L149" i="73"/>
  <c r="J149" i="73"/>
  <c r="P178" i="73"/>
  <c r="P238" i="73" s="1"/>
  <c r="J178" i="73"/>
  <c r="J238" i="73" s="1"/>
  <c r="Q148" i="73"/>
  <c r="M148" i="73"/>
  <c r="L178" i="73"/>
  <c r="L238" i="73" s="1"/>
  <c r="M178" i="73"/>
  <c r="M238" i="73" s="1"/>
  <c r="O148" i="73"/>
  <c r="P148" i="73"/>
  <c r="K178" i="73"/>
  <c r="K238" i="73" s="1"/>
  <c r="N178" i="73"/>
  <c r="N238" i="73" s="1"/>
  <c r="J148" i="73"/>
  <c r="L148" i="73"/>
  <c r="K148" i="73"/>
  <c r="O178" i="73"/>
  <c r="O238" i="73" s="1"/>
  <c r="Q178" i="73"/>
  <c r="Q238" i="73" s="1"/>
  <c r="N148" i="73"/>
  <c r="O170" i="83"/>
  <c r="O42" i="71" s="1"/>
  <c r="O147" i="71" s="1"/>
  <c r="X228" i="83"/>
  <c r="X102" i="71" s="1"/>
  <c r="X207" i="71" s="1"/>
  <c r="V141" i="83"/>
  <c r="Y141" i="83"/>
  <c r="O228" i="83"/>
  <c r="O102" i="71" s="1"/>
  <c r="O207" i="71" s="1"/>
  <c r="J199" i="83"/>
  <c r="J72" i="71" s="1"/>
  <c r="J177" i="71" s="1"/>
  <c r="J170" i="83"/>
  <c r="J42" i="71" s="1"/>
  <c r="J147" i="71" s="1"/>
  <c r="M141" i="83"/>
  <c r="M143" i="72" s="1"/>
  <c r="M213" i="72" s="1"/>
  <c r="M243" i="72" s="1"/>
  <c r="N170" i="83"/>
  <c r="N42" i="71" s="1"/>
  <c r="N147" i="71" s="1"/>
  <c r="U170" i="83"/>
  <c r="U42" i="71" s="1"/>
  <c r="U147" i="71" s="1"/>
  <c r="J228" i="83"/>
  <c r="J102" i="71" s="1"/>
  <c r="J207" i="71" s="1"/>
  <c r="K170" i="83"/>
  <c r="K42" i="71" s="1"/>
  <c r="K147" i="71" s="1"/>
  <c r="Q228" i="83"/>
  <c r="Q102" i="71" s="1"/>
  <c r="Q207" i="71" s="1"/>
  <c r="X170" i="83"/>
  <c r="X42" i="71" s="1"/>
  <c r="X147" i="71" s="1"/>
  <c r="M170" i="83"/>
  <c r="M42" i="71" s="1"/>
  <c r="M147" i="71" s="1"/>
  <c r="Y170" i="83"/>
  <c r="Y42" i="71" s="1"/>
  <c r="Y147" i="71" s="1"/>
  <c r="Y199" i="83"/>
  <c r="Y72" i="71" s="1"/>
  <c r="Y177" i="71" s="1"/>
  <c r="W170" i="83"/>
  <c r="W42" i="71" s="1"/>
  <c r="W147" i="71" s="1"/>
  <c r="R199" i="83"/>
  <c r="R72" i="71" s="1"/>
  <c r="R177" i="71" s="1"/>
  <c r="T141" i="83"/>
  <c r="Q199" i="83"/>
  <c r="Q72" i="71" s="1"/>
  <c r="Q177" i="71" s="1"/>
  <c r="K228" i="83"/>
  <c r="K102" i="71" s="1"/>
  <c r="K207" i="71" s="1"/>
  <c r="W141" i="83"/>
  <c r="P170" i="83"/>
  <c r="P42" i="71" s="1"/>
  <c r="P147" i="71" s="1"/>
  <c r="R170" i="83"/>
  <c r="R42" i="71" s="1"/>
  <c r="R147" i="71" s="1"/>
  <c r="J141" i="83"/>
  <c r="J143" i="72" s="1"/>
  <c r="J213" i="72" s="1"/>
  <c r="J243" i="72" s="1"/>
  <c r="W228" i="83"/>
  <c r="W102" i="71" s="1"/>
  <c r="W207" i="71" s="1"/>
  <c r="O199" i="83"/>
  <c r="O72" i="71" s="1"/>
  <c r="O177" i="71" s="1"/>
  <c r="V199" i="83"/>
  <c r="V72" i="71" s="1"/>
  <c r="V177" i="71" s="1"/>
  <c r="S141" i="83"/>
  <c r="S228" i="83"/>
  <c r="S102" i="71" s="1"/>
  <c r="S207" i="71" s="1"/>
  <c r="M199" i="83"/>
  <c r="M72" i="71" s="1"/>
  <c r="M177" i="71" s="1"/>
  <c r="S199" i="83"/>
  <c r="S72" i="71" s="1"/>
  <c r="S177" i="71" s="1"/>
  <c r="U199" i="83"/>
  <c r="U72" i="71" s="1"/>
  <c r="U177" i="71" s="1"/>
  <c r="N141" i="83"/>
  <c r="N143" i="72" s="1"/>
  <c r="N213" i="72" s="1"/>
  <c r="N243" i="72" s="1"/>
  <c r="X141" i="83"/>
  <c r="P199" i="83"/>
  <c r="P72" i="71" s="1"/>
  <c r="P177" i="71" s="1"/>
  <c r="N228" i="83"/>
  <c r="N102" i="71" s="1"/>
  <c r="N207" i="71" s="1"/>
  <c r="Q170" i="83"/>
  <c r="Q42" i="71" s="1"/>
  <c r="Q147" i="71" s="1"/>
  <c r="T228" i="83"/>
  <c r="T102" i="71" s="1"/>
  <c r="T207" i="71" s="1"/>
  <c r="P141" i="83"/>
  <c r="P143" i="72" s="1"/>
  <c r="P213" i="72" s="1"/>
  <c r="P243" i="72" s="1"/>
  <c r="O141" i="83"/>
  <c r="O143" i="72" s="1"/>
  <c r="O213" i="72" s="1"/>
  <c r="O243" i="72" s="1"/>
  <c r="U228" i="83"/>
  <c r="U102" i="71" s="1"/>
  <c r="U207" i="71" s="1"/>
  <c r="K141" i="83"/>
  <c r="K143" i="72" s="1"/>
  <c r="K213" i="72" s="1"/>
  <c r="K243" i="72" s="1"/>
  <c r="S170" i="83"/>
  <c r="S42" i="71" s="1"/>
  <c r="S147" i="71" s="1"/>
  <c r="V170" i="83"/>
  <c r="V42" i="71" s="1"/>
  <c r="V147" i="71" s="1"/>
  <c r="W199" i="83"/>
  <c r="W72" i="71" s="1"/>
  <c r="W177" i="71" s="1"/>
  <c r="P228" i="83"/>
  <c r="P102" i="71" s="1"/>
  <c r="P207" i="71" s="1"/>
  <c r="L199" i="83"/>
  <c r="L72" i="71" s="1"/>
  <c r="L177" i="71" s="1"/>
  <c r="L228" i="83"/>
  <c r="L102" i="71" s="1"/>
  <c r="L207" i="71" s="1"/>
  <c r="V228" i="83"/>
  <c r="V102" i="71" s="1"/>
  <c r="V207" i="71" s="1"/>
  <c r="T199" i="83"/>
  <c r="T72" i="71" s="1"/>
  <c r="T177" i="71" s="1"/>
  <c r="U141" i="83"/>
  <c r="M228" i="83"/>
  <c r="M102" i="71" s="1"/>
  <c r="M207" i="71" s="1"/>
  <c r="K199" i="83"/>
  <c r="K72" i="71" s="1"/>
  <c r="K177" i="71" s="1"/>
  <c r="L170" i="83"/>
  <c r="L42" i="71" s="1"/>
  <c r="L147" i="71" s="1"/>
  <c r="R141" i="83"/>
  <c r="X199" i="83"/>
  <c r="X72" i="71" s="1"/>
  <c r="X177" i="71" s="1"/>
  <c r="L141" i="83"/>
  <c r="L143" i="72" s="1"/>
  <c r="L213" i="72" s="1"/>
  <c r="L243" i="72" s="1"/>
  <c r="R228" i="83"/>
  <c r="R102" i="71" s="1"/>
  <c r="R207" i="71" s="1"/>
  <c r="T170" i="83"/>
  <c r="T42" i="71" s="1"/>
  <c r="T147" i="71" s="1"/>
  <c r="Y228" i="83"/>
  <c r="Y102" i="71" s="1"/>
  <c r="Y207" i="71" s="1"/>
  <c r="N199" i="83"/>
  <c r="N72" i="71" s="1"/>
  <c r="N177" i="71" s="1"/>
  <c r="Q141" i="83"/>
  <c r="Q143" i="72" s="1"/>
  <c r="Q213" i="72" s="1"/>
  <c r="Q243" i="72" s="1"/>
  <c r="J230" i="83"/>
  <c r="J104" i="71" s="1"/>
  <c r="J209" i="71" s="1"/>
  <c r="X201" i="83"/>
  <c r="X74" i="71" s="1"/>
  <c r="X179" i="71" s="1"/>
  <c r="O172" i="83"/>
  <c r="O44" i="71" s="1"/>
  <c r="O149" i="71" s="1"/>
  <c r="L143" i="83"/>
  <c r="L145" i="72" s="1"/>
  <c r="L215" i="72" s="1"/>
  <c r="L245" i="72" s="1"/>
  <c r="M172" i="83"/>
  <c r="M44" i="71" s="1"/>
  <c r="M149" i="71" s="1"/>
  <c r="Q143" i="83"/>
  <c r="Q145" i="72" s="1"/>
  <c r="Q215" i="72" s="1"/>
  <c r="Q245" i="72" s="1"/>
  <c r="P201" i="83"/>
  <c r="P74" i="71" s="1"/>
  <c r="P179" i="71" s="1"/>
  <c r="R230" i="83"/>
  <c r="R104" i="71" s="1"/>
  <c r="R209" i="71" s="1"/>
  <c r="R201" i="83"/>
  <c r="R74" i="71" s="1"/>
  <c r="R179" i="71" s="1"/>
  <c r="Y143" i="83"/>
  <c r="X172" i="83"/>
  <c r="X44" i="71" s="1"/>
  <c r="X149" i="71" s="1"/>
  <c r="S172" i="83"/>
  <c r="S44" i="71" s="1"/>
  <c r="S149" i="71" s="1"/>
  <c r="J201" i="83"/>
  <c r="J74" i="71" s="1"/>
  <c r="J179" i="71" s="1"/>
  <c r="L172" i="83"/>
  <c r="L44" i="71" s="1"/>
  <c r="L149" i="71" s="1"/>
  <c r="N201" i="83"/>
  <c r="N74" i="71" s="1"/>
  <c r="N179" i="71" s="1"/>
  <c r="X143" i="83"/>
  <c r="K172" i="83"/>
  <c r="K44" i="71" s="1"/>
  <c r="K149" i="71" s="1"/>
  <c r="V201" i="83"/>
  <c r="V74" i="71" s="1"/>
  <c r="V179" i="71" s="1"/>
  <c r="T201" i="83"/>
  <c r="T74" i="71" s="1"/>
  <c r="T179" i="71" s="1"/>
  <c r="Q172" i="83"/>
  <c r="Q44" i="71" s="1"/>
  <c r="Q149" i="71" s="1"/>
  <c r="K201" i="83"/>
  <c r="K74" i="71" s="1"/>
  <c r="K179" i="71" s="1"/>
  <c r="Q201" i="83"/>
  <c r="Q74" i="71" s="1"/>
  <c r="Q179" i="71" s="1"/>
  <c r="L230" i="83"/>
  <c r="L104" i="71" s="1"/>
  <c r="L209" i="71" s="1"/>
  <c r="R143" i="83"/>
  <c r="U230" i="83"/>
  <c r="U104" i="71" s="1"/>
  <c r="U209" i="71" s="1"/>
  <c r="W172" i="83"/>
  <c r="W44" i="71" s="1"/>
  <c r="W149" i="71" s="1"/>
  <c r="Q230" i="83"/>
  <c r="Q104" i="71" s="1"/>
  <c r="Q209" i="71" s="1"/>
  <c r="S201" i="83"/>
  <c r="S74" i="71" s="1"/>
  <c r="S179" i="71" s="1"/>
  <c r="U201" i="83"/>
  <c r="U74" i="71" s="1"/>
  <c r="U179" i="71" s="1"/>
  <c r="Y172" i="83"/>
  <c r="Y44" i="71" s="1"/>
  <c r="Y149" i="71" s="1"/>
  <c r="N172" i="83"/>
  <c r="N44" i="71" s="1"/>
  <c r="N149" i="71" s="1"/>
  <c r="J172" i="83"/>
  <c r="J44" i="71" s="1"/>
  <c r="J149" i="71" s="1"/>
  <c r="M143" i="83"/>
  <c r="M145" i="72" s="1"/>
  <c r="M215" i="72" s="1"/>
  <c r="M245" i="72" s="1"/>
  <c r="X230" i="83"/>
  <c r="X104" i="71" s="1"/>
  <c r="X209" i="71" s="1"/>
  <c r="L201" i="83"/>
  <c r="L74" i="71" s="1"/>
  <c r="L179" i="71" s="1"/>
  <c r="P172" i="83"/>
  <c r="P44" i="71" s="1"/>
  <c r="P149" i="71" s="1"/>
  <c r="W143" i="83"/>
  <c r="P230" i="83"/>
  <c r="P104" i="71" s="1"/>
  <c r="P209" i="71" s="1"/>
  <c r="N230" i="83"/>
  <c r="N104" i="71" s="1"/>
  <c r="N209" i="71" s="1"/>
  <c r="T230" i="83"/>
  <c r="T104" i="71" s="1"/>
  <c r="T209" i="71" s="1"/>
  <c r="M201" i="83"/>
  <c r="M74" i="71" s="1"/>
  <c r="M179" i="71" s="1"/>
  <c r="K143" i="83"/>
  <c r="K145" i="72" s="1"/>
  <c r="K215" i="72" s="1"/>
  <c r="K245" i="72" s="1"/>
  <c r="Y201" i="83"/>
  <c r="Y74" i="71" s="1"/>
  <c r="Y179" i="71" s="1"/>
  <c r="K230" i="83"/>
  <c r="K104" i="71" s="1"/>
  <c r="K209" i="71" s="1"/>
  <c r="W201" i="83"/>
  <c r="W74" i="71" s="1"/>
  <c r="W179" i="71" s="1"/>
  <c r="P143" i="83"/>
  <c r="P145" i="72" s="1"/>
  <c r="P215" i="72" s="1"/>
  <c r="P245" i="72" s="1"/>
  <c r="U143" i="83"/>
  <c r="J143" i="83"/>
  <c r="J145" i="72" s="1"/>
  <c r="J215" i="72" s="1"/>
  <c r="J245" i="72" s="1"/>
  <c r="V172" i="83"/>
  <c r="V44" i="71" s="1"/>
  <c r="V149" i="71" s="1"/>
  <c r="W230" i="83"/>
  <c r="W104" i="71" s="1"/>
  <c r="W209" i="71" s="1"/>
  <c r="V230" i="83"/>
  <c r="V104" i="71" s="1"/>
  <c r="V209" i="71" s="1"/>
  <c r="U172" i="83"/>
  <c r="U44" i="71" s="1"/>
  <c r="U149" i="71" s="1"/>
  <c r="Y230" i="83"/>
  <c r="Y104" i="71" s="1"/>
  <c r="Y209" i="71" s="1"/>
  <c r="T143" i="83"/>
  <c r="N143" i="83"/>
  <c r="N145" i="72" s="1"/>
  <c r="N215" i="72" s="1"/>
  <c r="N245" i="72" s="1"/>
  <c r="M230" i="83"/>
  <c r="M104" i="71" s="1"/>
  <c r="M209" i="71" s="1"/>
  <c r="O201" i="83"/>
  <c r="O74" i="71" s="1"/>
  <c r="O179" i="71" s="1"/>
  <c r="S230" i="83"/>
  <c r="S104" i="71" s="1"/>
  <c r="S209" i="71" s="1"/>
  <c r="V143" i="83"/>
  <c r="T172" i="83"/>
  <c r="T44" i="71" s="1"/>
  <c r="T149" i="71" s="1"/>
  <c r="O143" i="83"/>
  <c r="O145" i="72" s="1"/>
  <c r="O215" i="72" s="1"/>
  <c r="O245" i="72" s="1"/>
  <c r="S143" i="83"/>
  <c r="O230" i="83"/>
  <c r="O104" i="71" s="1"/>
  <c r="O209" i="71" s="1"/>
  <c r="R172" i="83"/>
  <c r="R44" i="71" s="1"/>
  <c r="R149" i="71" s="1"/>
  <c r="V172" i="72"/>
  <c r="V207" i="72" s="1"/>
  <c r="V237" i="72" s="1"/>
  <c r="T172" i="72"/>
  <c r="T207" i="72" s="1"/>
  <c r="T237" i="72" s="1"/>
  <c r="S172" i="72"/>
  <c r="S207" i="72" s="1"/>
  <c r="S237" i="72" s="1"/>
  <c r="R172" i="72"/>
  <c r="R207" i="72" s="1"/>
  <c r="R237" i="72" s="1"/>
  <c r="Y172" i="72"/>
  <c r="Y207" i="72" s="1"/>
  <c r="Y237" i="72" s="1"/>
  <c r="U172" i="72"/>
  <c r="U207" i="72" s="1"/>
  <c r="U237" i="72" s="1"/>
  <c r="W172" i="72"/>
  <c r="W207" i="72" s="1"/>
  <c r="W237" i="72" s="1"/>
  <c r="X172" i="72"/>
  <c r="X207" i="72" s="1"/>
  <c r="X237" i="72" s="1"/>
  <c r="T174" i="72"/>
  <c r="T209" i="72" s="1"/>
  <c r="T239" i="72" s="1"/>
  <c r="S174" i="72"/>
  <c r="S209" i="72" s="1"/>
  <c r="S239" i="72" s="1"/>
  <c r="Y174" i="72"/>
  <c r="Y209" i="72" s="1"/>
  <c r="Y239" i="72" s="1"/>
  <c r="W174" i="72"/>
  <c r="W209" i="72" s="1"/>
  <c r="W239" i="72" s="1"/>
  <c r="X174" i="72"/>
  <c r="X209" i="72" s="1"/>
  <c r="X239" i="72" s="1"/>
  <c r="U174" i="72"/>
  <c r="U209" i="72" s="1"/>
  <c r="U239" i="72" s="1"/>
  <c r="R174" i="72"/>
  <c r="R209" i="72" s="1"/>
  <c r="R239" i="72" s="1"/>
  <c r="V174" i="72"/>
  <c r="V209" i="72" s="1"/>
  <c r="V239" i="72" s="1"/>
  <c r="W179" i="72"/>
  <c r="W214" i="72" s="1"/>
  <c r="W244" i="72" s="1"/>
  <c r="Y179" i="72"/>
  <c r="Y214" i="72" s="1"/>
  <c r="Y244" i="72" s="1"/>
  <c r="R179" i="72"/>
  <c r="R214" i="72" s="1"/>
  <c r="R244" i="72" s="1"/>
  <c r="S179" i="72"/>
  <c r="S214" i="72" s="1"/>
  <c r="S244" i="72" s="1"/>
  <c r="X179" i="72"/>
  <c r="X214" i="72" s="1"/>
  <c r="X244" i="72" s="1"/>
  <c r="T179" i="72"/>
  <c r="T214" i="72" s="1"/>
  <c r="T244" i="72" s="1"/>
  <c r="V179" i="72"/>
  <c r="V214" i="72" s="1"/>
  <c r="V244" i="72" s="1"/>
  <c r="U179" i="72"/>
  <c r="U214" i="72" s="1"/>
  <c r="U244" i="72" s="1"/>
  <c r="K183" i="73"/>
  <c r="K243" i="73" s="1"/>
  <c r="O183" i="73"/>
  <c r="O243" i="73" s="1"/>
  <c r="L153" i="73"/>
  <c r="Q153" i="73"/>
  <c r="L183" i="73"/>
  <c r="L243" i="73" s="1"/>
  <c r="O153" i="73"/>
  <c r="K153" i="73"/>
  <c r="N183" i="73"/>
  <c r="N243" i="73" s="1"/>
  <c r="M153" i="73"/>
  <c r="Q183" i="73"/>
  <c r="Q243" i="73" s="1"/>
  <c r="J183" i="73"/>
  <c r="J243" i="73" s="1"/>
  <c r="J153" i="73"/>
  <c r="P183" i="73"/>
  <c r="P243" i="73" s="1"/>
  <c r="N153" i="73"/>
  <c r="M183" i="73"/>
  <c r="M243" i="73" s="1"/>
  <c r="P153" i="73"/>
  <c r="M176" i="73"/>
  <c r="M236" i="73" s="1"/>
  <c r="Q176" i="73"/>
  <c r="Q236" i="73" s="1"/>
  <c r="O146" i="73"/>
  <c r="N146" i="73"/>
  <c r="N176" i="73"/>
  <c r="N236" i="73" s="1"/>
  <c r="O176" i="73"/>
  <c r="O236" i="73" s="1"/>
  <c r="K146" i="73"/>
  <c r="L146" i="73"/>
  <c r="K176" i="73"/>
  <c r="K236" i="73" s="1"/>
  <c r="M146" i="73"/>
  <c r="P146" i="73"/>
  <c r="L176" i="73"/>
  <c r="L236" i="73" s="1"/>
  <c r="P176" i="73"/>
  <c r="P236" i="73" s="1"/>
  <c r="J176" i="73"/>
  <c r="J236" i="73" s="1"/>
  <c r="Q146" i="73"/>
  <c r="J146" i="73"/>
  <c r="Q182" i="73"/>
  <c r="Q242" i="73" s="1"/>
  <c r="M182" i="73"/>
  <c r="M242" i="73" s="1"/>
  <c r="N152" i="73"/>
  <c r="Q152" i="73"/>
  <c r="L182" i="73"/>
  <c r="L242" i="73" s="1"/>
  <c r="J182" i="73"/>
  <c r="J242" i="73" s="1"/>
  <c r="L152" i="73"/>
  <c r="M152" i="73"/>
  <c r="N182" i="73"/>
  <c r="N242" i="73" s="1"/>
  <c r="K182" i="73"/>
  <c r="K242" i="73" s="1"/>
  <c r="O152" i="73"/>
  <c r="K152" i="73"/>
  <c r="J152" i="73"/>
  <c r="O182" i="73"/>
  <c r="O242" i="73" s="1"/>
  <c r="P182" i="73"/>
  <c r="P242" i="73" s="1"/>
  <c r="P152" i="73"/>
  <c r="J222" i="83"/>
  <c r="J96" i="71" s="1"/>
  <c r="J201" i="71" s="1"/>
  <c r="S135" i="83"/>
  <c r="J193" i="83"/>
  <c r="J66" i="71" s="1"/>
  <c r="J171" i="71" s="1"/>
  <c r="K135" i="83"/>
  <c r="K137" i="72" s="1"/>
  <c r="K207" i="72" s="1"/>
  <c r="K237" i="72" s="1"/>
  <c r="T193" i="83"/>
  <c r="T66" i="71" s="1"/>
  <c r="T171" i="71" s="1"/>
  <c r="X164" i="83"/>
  <c r="V193" i="83"/>
  <c r="V66" i="71" s="1"/>
  <c r="V171" i="71" s="1"/>
  <c r="T135" i="83"/>
  <c r="U135" i="83"/>
  <c r="R135" i="83"/>
  <c r="W135" i="83"/>
  <c r="U193" i="83"/>
  <c r="U66" i="71" s="1"/>
  <c r="U171" i="71" s="1"/>
  <c r="X193" i="83"/>
  <c r="X66" i="71" s="1"/>
  <c r="X171" i="71" s="1"/>
  <c r="T222" i="83"/>
  <c r="T96" i="71" s="1"/>
  <c r="T201" i="71" s="1"/>
  <c r="W193" i="83"/>
  <c r="W66" i="71" s="1"/>
  <c r="W171" i="71" s="1"/>
  <c r="K193" i="83"/>
  <c r="K66" i="71" s="1"/>
  <c r="K171" i="71" s="1"/>
  <c r="K164" i="83"/>
  <c r="R164" i="83"/>
  <c r="Y222" i="83"/>
  <c r="Y96" i="71" s="1"/>
  <c r="Y201" i="71" s="1"/>
  <c r="Q135" i="83"/>
  <c r="Q137" i="72" s="1"/>
  <c r="Q207" i="72" s="1"/>
  <c r="Q237" i="72" s="1"/>
  <c r="N193" i="83"/>
  <c r="N66" i="71" s="1"/>
  <c r="N171" i="71" s="1"/>
  <c r="M164" i="83"/>
  <c r="O222" i="83"/>
  <c r="O96" i="71" s="1"/>
  <c r="O201" i="71" s="1"/>
  <c r="T164" i="83"/>
  <c r="V164" i="83"/>
  <c r="M222" i="83"/>
  <c r="M96" i="71" s="1"/>
  <c r="M201" i="71" s="1"/>
  <c r="S164" i="83"/>
  <c r="R222" i="83"/>
  <c r="R96" i="71" s="1"/>
  <c r="R201" i="71" s="1"/>
  <c r="P193" i="83"/>
  <c r="P66" i="71" s="1"/>
  <c r="P171" i="71" s="1"/>
  <c r="J135" i="83"/>
  <c r="L135" i="83"/>
  <c r="L137" i="72" s="1"/>
  <c r="L207" i="72" s="1"/>
  <c r="L237" i="72" s="1"/>
  <c r="L193" i="83"/>
  <c r="L66" i="71" s="1"/>
  <c r="L171" i="71" s="1"/>
  <c r="N135" i="83"/>
  <c r="N137" i="72" s="1"/>
  <c r="N207" i="72" s="1"/>
  <c r="N237" i="72" s="1"/>
  <c r="X222" i="83"/>
  <c r="X96" i="71" s="1"/>
  <c r="X201" i="71" s="1"/>
  <c r="O135" i="83"/>
  <c r="O137" i="72" s="1"/>
  <c r="O207" i="72" s="1"/>
  <c r="O237" i="72" s="1"/>
  <c r="N222" i="83"/>
  <c r="N96" i="71" s="1"/>
  <c r="N201" i="71" s="1"/>
  <c r="O193" i="83"/>
  <c r="O66" i="71" s="1"/>
  <c r="O171" i="71" s="1"/>
  <c r="P222" i="83"/>
  <c r="P96" i="71" s="1"/>
  <c r="P201" i="71" s="1"/>
  <c r="L164" i="83"/>
  <c r="X135" i="83"/>
  <c r="Y135" i="83"/>
  <c r="W222" i="83"/>
  <c r="W96" i="71" s="1"/>
  <c r="W201" i="71" s="1"/>
  <c r="W164" i="83"/>
  <c r="Y164" i="83"/>
  <c r="Q222" i="83"/>
  <c r="Q96" i="71" s="1"/>
  <c r="Q201" i="71" s="1"/>
  <c r="U222" i="83"/>
  <c r="U96" i="71" s="1"/>
  <c r="U201" i="71" s="1"/>
  <c r="P164" i="83"/>
  <c r="M135" i="83"/>
  <c r="M137" i="72" s="1"/>
  <c r="M207" i="72" s="1"/>
  <c r="M237" i="72" s="1"/>
  <c r="P135" i="83"/>
  <c r="P137" i="72" s="1"/>
  <c r="P207" i="72" s="1"/>
  <c r="P237" i="72" s="1"/>
  <c r="U164" i="83"/>
  <c r="M193" i="83"/>
  <c r="M66" i="71" s="1"/>
  <c r="M171" i="71" s="1"/>
  <c r="V222" i="83"/>
  <c r="V96" i="71" s="1"/>
  <c r="V201" i="71" s="1"/>
  <c r="Q193" i="83"/>
  <c r="Q66" i="71" s="1"/>
  <c r="Q171" i="71" s="1"/>
  <c r="R193" i="83"/>
  <c r="R66" i="71" s="1"/>
  <c r="R171" i="71" s="1"/>
  <c r="K222" i="83"/>
  <c r="K96" i="71" s="1"/>
  <c r="K201" i="71" s="1"/>
  <c r="V135" i="83"/>
  <c r="J164" i="83"/>
  <c r="L222" i="83"/>
  <c r="L96" i="71" s="1"/>
  <c r="L201" i="71" s="1"/>
  <c r="S222" i="83"/>
  <c r="S96" i="71" s="1"/>
  <c r="S201" i="71" s="1"/>
  <c r="S193" i="83"/>
  <c r="S66" i="71" s="1"/>
  <c r="S171" i="71" s="1"/>
  <c r="Y193" i="83"/>
  <c r="Y66" i="71" s="1"/>
  <c r="Y171" i="71" s="1"/>
  <c r="N164" i="83"/>
  <c r="Q164" i="83"/>
  <c r="O164" i="83"/>
  <c r="V200" i="83"/>
  <c r="V73" i="71" s="1"/>
  <c r="V178" i="71" s="1"/>
  <c r="Y142" i="83"/>
  <c r="J229" i="83"/>
  <c r="J103" i="71" s="1"/>
  <c r="J208" i="71" s="1"/>
  <c r="M229" i="83"/>
  <c r="M103" i="71" s="1"/>
  <c r="M208" i="71" s="1"/>
  <c r="O142" i="83"/>
  <c r="O144" i="72" s="1"/>
  <c r="O214" i="72" s="1"/>
  <c r="O244" i="72" s="1"/>
  <c r="K142" i="83"/>
  <c r="K144" i="72" s="1"/>
  <c r="K214" i="72" s="1"/>
  <c r="K244" i="72" s="1"/>
  <c r="O171" i="83"/>
  <c r="O43" i="71" s="1"/>
  <c r="O148" i="71" s="1"/>
  <c r="W142" i="83"/>
  <c r="T142" i="83"/>
  <c r="N200" i="83"/>
  <c r="N73" i="71" s="1"/>
  <c r="N178" i="71" s="1"/>
  <c r="Q229" i="83"/>
  <c r="Q103" i="71" s="1"/>
  <c r="Q208" i="71" s="1"/>
  <c r="P142" i="83"/>
  <c r="P144" i="72" s="1"/>
  <c r="P214" i="72" s="1"/>
  <c r="P244" i="72" s="1"/>
  <c r="S142" i="83"/>
  <c r="K171" i="83"/>
  <c r="K43" i="71" s="1"/>
  <c r="K148" i="71" s="1"/>
  <c r="W171" i="83"/>
  <c r="W43" i="71" s="1"/>
  <c r="W148" i="71" s="1"/>
  <c r="Y171" i="83"/>
  <c r="Y43" i="71" s="1"/>
  <c r="Y148" i="71" s="1"/>
  <c r="Y200" i="83"/>
  <c r="Y73" i="71" s="1"/>
  <c r="Y178" i="71" s="1"/>
  <c r="U200" i="83"/>
  <c r="U73" i="71" s="1"/>
  <c r="U178" i="71" s="1"/>
  <c r="U171" i="83"/>
  <c r="U43" i="71" s="1"/>
  <c r="U148" i="71" s="1"/>
  <c r="L142" i="83"/>
  <c r="L144" i="72" s="1"/>
  <c r="L214" i="72" s="1"/>
  <c r="L244" i="72" s="1"/>
  <c r="X171" i="83"/>
  <c r="X43" i="71" s="1"/>
  <c r="X148" i="71" s="1"/>
  <c r="P171" i="83"/>
  <c r="P43" i="71" s="1"/>
  <c r="P148" i="71" s="1"/>
  <c r="T229" i="83"/>
  <c r="T103" i="71" s="1"/>
  <c r="T208" i="71" s="1"/>
  <c r="K200" i="83"/>
  <c r="K73" i="71" s="1"/>
  <c r="K178" i="71" s="1"/>
  <c r="S229" i="83"/>
  <c r="S103" i="71" s="1"/>
  <c r="S208" i="71" s="1"/>
  <c r="L200" i="83"/>
  <c r="L73" i="71" s="1"/>
  <c r="L178" i="71" s="1"/>
  <c r="L171" i="83"/>
  <c r="L43" i="71" s="1"/>
  <c r="L148" i="71" s="1"/>
  <c r="R200" i="83"/>
  <c r="R73" i="71" s="1"/>
  <c r="R178" i="71" s="1"/>
  <c r="O200" i="83"/>
  <c r="O73" i="71" s="1"/>
  <c r="O178" i="71" s="1"/>
  <c r="X229" i="83"/>
  <c r="X103" i="71" s="1"/>
  <c r="X208" i="71" s="1"/>
  <c r="U229" i="83"/>
  <c r="U103" i="71" s="1"/>
  <c r="U208" i="71" s="1"/>
  <c r="M142" i="83"/>
  <c r="M144" i="72" s="1"/>
  <c r="M214" i="72" s="1"/>
  <c r="M244" i="72" s="1"/>
  <c r="Q142" i="83"/>
  <c r="Q144" i="72" s="1"/>
  <c r="Q214" i="72" s="1"/>
  <c r="Q244" i="72" s="1"/>
  <c r="M171" i="83"/>
  <c r="M43" i="71" s="1"/>
  <c r="M148" i="71" s="1"/>
  <c r="U142" i="83"/>
  <c r="W200" i="83"/>
  <c r="W73" i="71" s="1"/>
  <c r="W178" i="71" s="1"/>
  <c r="P229" i="83"/>
  <c r="P103" i="71" s="1"/>
  <c r="P208" i="71" s="1"/>
  <c r="T200" i="83"/>
  <c r="T73" i="71" s="1"/>
  <c r="T178" i="71" s="1"/>
  <c r="W229" i="83"/>
  <c r="W103" i="71" s="1"/>
  <c r="W208" i="71" s="1"/>
  <c r="R229" i="83"/>
  <c r="R103" i="71" s="1"/>
  <c r="R208" i="71" s="1"/>
  <c r="J142" i="83"/>
  <c r="J144" i="72" s="1"/>
  <c r="J214" i="72" s="1"/>
  <c r="J244" i="72" s="1"/>
  <c r="S171" i="83"/>
  <c r="S43" i="71" s="1"/>
  <c r="S148" i="71" s="1"/>
  <c r="R171" i="83"/>
  <c r="R43" i="71" s="1"/>
  <c r="R148" i="71" s="1"/>
  <c r="T171" i="83"/>
  <c r="T43" i="71" s="1"/>
  <c r="T148" i="71" s="1"/>
  <c r="N171" i="83"/>
  <c r="N43" i="71" s="1"/>
  <c r="N148" i="71" s="1"/>
  <c r="L229" i="83"/>
  <c r="L103" i="71" s="1"/>
  <c r="L208" i="71" s="1"/>
  <c r="O229" i="83"/>
  <c r="O103" i="71" s="1"/>
  <c r="O208" i="71" s="1"/>
  <c r="Q171" i="83"/>
  <c r="Q43" i="71" s="1"/>
  <c r="Q148" i="71" s="1"/>
  <c r="J200" i="83"/>
  <c r="J73" i="71" s="1"/>
  <c r="J178" i="71" s="1"/>
  <c r="P200" i="83"/>
  <c r="P73" i="71" s="1"/>
  <c r="P178" i="71" s="1"/>
  <c r="N229" i="83"/>
  <c r="N103" i="71" s="1"/>
  <c r="N208" i="71" s="1"/>
  <c r="X200" i="83"/>
  <c r="X73" i="71" s="1"/>
  <c r="X178" i="71" s="1"/>
  <c r="N142" i="83"/>
  <c r="N144" i="72" s="1"/>
  <c r="N214" i="72" s="1"/>
  <c r="N244" i="72" s="1"/>
  <c r="V142" i="83"/>
  <c r="S200" i="83"/>
  <c r="S73" i="71" s="1"/>
  <c r="S178" i="71" s="1"/>
  <c r="M200" i="83"/>
  <c r="M73" i="71" s="1"/>
  <c r="M178" i="71" s="1"/>
  <c r="Q200" i="83"/>
  <c r="Q73" i="71" s="1"/>
  <c r="Q178" i="71" s="1"/>
  <c r="V229" i="83"/>
  <c r="V103" i="71" s="1"/>
  <c r="V208" i="71" s="1"/>
  <c r="Y229" i="83"/>
  <c r="Y103" i="71" s="1"/>
  <c r="Y208" i="71" s="1"/>
  <c r="J171" i="83"/>
  <c r="J43" i="71" s="1"/>
  <c r="J148" i="71" s="1"/>
  <c r="V171" i="83"/>
  <c r="V43" i="71" s="1"/>
  <c r="V148" i="71" s="1"/>
  <c r="R142" i="83"/>
  <c r="X142" i="83"/>
  <c r="K229" i="83"/>
  <c r="K103" i="71" s="1"/>
  <c r="K208" i="71" s="1"/>
  <c r="R176" i="72"/>
  <c r="R211" i="72" s="1"/>
  <c r="R241" i="72" s="1"/>
  <c r="Y176" i="72"/>
  <c r="Y211" i="72" s="1"/>
  <c r="Y241" i="72" s="1"/>
  <c r="X176" i="72"/>
  <c r="X211" i="72" s="1"/>
  <c r="X241" i="72" s="1"/>
  <c r="V176" i="72"/>
  <c r="V211" i="72" s="1"/>
  <c r="V241" i="72" s="1"/>
  <c r="T176" i="72"/>
  <c r="T211" i="72" s="1"/>
  <c r="T241" i="72" s="1"/>
  <c r="U176" i="72"/>
  <c r="U211" i="72" s="1"/>
  <c r="U241" i="72" s="1"/>
  <c r="W176" i="72"/>
  <c r="W211" i="72" s="1"/>
  <c r="W241" i="72" s="1"/>
  <c r="S176" i="72"/>
  <c r="S211" i="72" s="1"/>
  <c r="S241" i="72" s="1"/>
  <c r="V175" i="72"/>
  <c r="V210" i="72" s="1"/>
  <c r="V240" i="72" s="1"/>
  <c r="S175" i="72"/>
  <c r="S210" i="72" s="1"/>
  <c r="S240" i="72" s="1"/>
  <c r="T175" i="72"/>
  <c r="T210" i="72" s="1"/>
  <c r="T240" i="72" s="1"/>
  <c r="X175" i="72"/>
  <c r="X210" i="72" s="1"/>
  <c r="X240" i="72" s="1"/>
  <c r="Y175" i="72"/>
  <c r="Y210" i="72" s="1"/>
  <c r="Y240" i="72" s="1"/>
  <c r="R175" i="72"/>
  <c r="R210" i="72" s="1"/>
  <c r="R240" i="72" s="1"/>
  <c r="U175" i="72"/>
  <c r="U210" i="72" s="1"/>
  <c r="U240" i="72" s="1"/>
  <c r="W175" i="72"/>
  <c r="W210" i="72" s="1"/>
  <c r="W240" i="72" s="1"/>
  <c r="V180" i="72"/>
  <c r="V215" i="72" s="1"/>
  <c r="V245" i="72" s="1"/>
  <c r="T180" i="72"/>
  <c r="T215" i="72" s="1"/>
  <c r="T245" i="72" s="1"/>
  <c r="X180" i="72"/>
  <c r="X215" i="72" s="1"/>
  <c r="X245" i="72" s="1"/>
  <c r="Y180" i="72"/>
  <c r="Y215" i="72" s="1"/>
  <c r="Y245" i="72" s="1"/>
  <c r="S180" i="72"/>
  <c r="S215" i="72" s="1"/>
  <c r="S245" i="72" s="1"/>
  <c r="W180" i="72"/>
  <c r="W215" i="72" s="1"/>
  <c r="W245" i="72" s="1"/>
  <c r="R180" i="72"/>
  <c r="R215" i="72" s="1"/>
  <c r="R245" i="72" s="1"/>
  <c r="U180" i="72"/>
  <c r="U215" i="72" s="1"/>
  <c r="U245" i="72" s="1"/>
  <c r="L219" i="71" l="1"/>
  <c r="L22" i="41" s="1"/>
  <c r="N42" i="41" s="1"/>
  <c r="R218" i="71"/>
  <c r="R21" i="41" s="1"/>
  <c r="AH41" i="41" s="1"/>
  <c r="U219" i="71"/>
  <c r="U22" i="41" s="1"/>
  <c r="AK42" i="41" s="1"/>
  <c r="AK22" i="65" s="1"/>
  <c r="W219" i="71"/>
  <c r="W22" i="41" s="1"/>
  <c r="AM42" i="41" s="1"/>
  <c r="P219" i="71"/>
  <c r="P22" i="41" s="1"/>
  <c r="AB42" i="41" s="1"/>
  <c r="AB22" i="65" s="1"/>
  <c r="X219" i="71"/>
  <c r="X22" i="41" s="1"/>
  <c r="AN42" i="41" s="1"/>
  <c r="AN22" i="65" s="1"/>
  <c r="M219" i="71"/>
  <c r="M22" i="41" s="1"/>
  <c r="Q42" i="41" s="1"/>
  <c r="T219" i="71"/>
  <c r="T22" i="41" s="1"/>
  <c r="AJ42" i="41" s="1"/>
  <c r="Q257" i="73"/>
  <c r="Q25" i="41" s="1"/>
  <c r="AG45" i="41" s="1"/>
  <c r="N239" i="83"/>
  <c r="N36" i="71"/>
  <c r="N141" i="71" s="1"/>
  <c r="N217" i="71" s="1"/>
  <c r="N20" i="41" s="1"/>
  <c r="J137" i="72"/>
  <c r="H237" i="83" a="1"/>
  <c r="H237" i="83" s="1"/>
  <c r="M36" i="71"/>
  <c r="M141" i="71" s="1"/>
  <c r="M217" i="71" s="1"/>
  <c r="M20" i="41" s="1"/>
  <c r="Q40" i="41" s="1"/>
  <c r="Q20" i="65" s="1"/>
  <c r="M239" i="83"/>
  <c r="O283" i="73"/>
  <c r="O46" i="74" s="1"/>
  <c r="O91" i="74" s="1"/>
  <c r="O213" i="73"/>
  <c r="T250" i="72"/>
  <c r="T26" i="41" s="1"/>
  <c r="AJ46" i="41" s="1"/>
  <c r="AJ26" i="65" s="1"/>
  <c r="AJ116" i="65" s="1"/>
  <c r="AJ44" i="82" s="1"/>
  <c r="P209" i="73"/>
  <c r="P279" i="73"/>
  <c r="P42" i="74" s="1"/>
  <c r="P87" i="74" s="1"/>
  <c r="Q279" i="73"/>
  <c r="Q42" i="74" s="1"/>
  <c r="Q87" i="74" s="1"/>
  <c r="Q209" i="73"/>
  <c r="J210" i="73"/>
  <c r="J280" i="73"/>
  <c r="J43" i="74" s="1"/>
  <c r="J88" i="74" s="1"/>
  <c r="L211" i="73"/>
  <c r="L281" i="73"/>
  <c r="L44" i="74" s="1"/>
  <c r="L89" i="74" s="1"/>
  <c r="U36" i="71"/>
  <c r="U141" i="71" s="1"/>
  <c r="U217" i="71" s="1"/>
  <c r="U20" i="41" s="1"/>
  <c r="AK40" i="41" s="1"/>
  <c r="AK20" i="65" s="1"/>
  <c r="U239" i="83"/>
  <c r="X239" i="83"/>
  <c r="X36" i="71"/>
  <c r="X141" i="71" s="1"/>
  <c r="X217" i="71" s="1"/>
  <c r="X20" i="41" s="1"/>
  <c r="AN40" i="41" s="1"/>
  <c r="AN20" i="65" s="1"/>
  <c r="O257" i="73"/>
  <c r="O25" i="41" s="1"/>
  <c r="U250" i="72"/>
  <c r="U26" i="41" s="1"/>
  <c r="AK46" i="41" s="1"/>
  <c r="AK26" i="65" s="1"/>
  <c r="AK116" i="65" s="1"/>
  <c r="P207" i="73"/>
  <c r="P277" i="73"/>
  <c r="P40" i="74" s="1"/>
  <c r="P85" i="74" s="1"/>
  <c r="N207" i="73"/>
  <c r="N277" i="73"/>
  <c r="N40" i="74" s="1"/>
  <c r="N85" i="74" s="1"/>
  <c r="L214" i="73"/>
  <c r="L284" i="73"/>
  <c r="L47" i="74" s="1"/>
  <c r="L92" i="74" s="1"/>
  <c r="R239" i="83"/>
  <c r="R36" i="71"/>
  <c r="R141" i="71" s="1"/>
  <c r="R217" i="71" s="1"/>
  <c r="R20" i="41" s="1"/>
  <c r="AH40" i="41" s="1"/>
  <c r="AH20" i="65" s="1"/>
  <c r="J257" i="73"/>
  <c r="J25" i="41" s="1"/>
  <c r="J45" i="41" s="1"/>
  <c r="J25" i="65" s="1"/>
  <c r="M206" i="73"/>
  <c r="M276" i="73"/>
  <c r="M39" i="74" s="1"/>
  <c r="M84" i="74" s="1"/>
  <c r="N213" i="73"/>
  <c r="N283" i="73"/>
  <c r="N46" i="74" s="1"/>
  <c r="N91" i="74" s="1"/>
  <c r="O239" i="83"/>
  <c r="O36" i="71"/>
  <c r="O141" i="71" s="1"/>
  <c r="O217" i="71" s="1"/>
  <c r="O20" i="41" s="1"/>
  <c r="S218" i="71"/>
  <c r="S21" i="41" s="1"/>
  <c r="AI41" i="41" s="1"/>
  <c r="AI21" i="65" s="1"/>
  <c r="V219" i="71"/>
  <c r="V22" i="41" s="1"/>
  <c r="AL42" i="41" s="1"/>
  <c r="AL22" i="65" s="1"/>
  <c r="M250" i="72"/>
  <c r="M26" i="41" s="1"/>
  <c r="Q46" i="41" s="1"/>
  <c r="Q26" i="65" s="1"/>
  <c r="Q116" i="65" s="1"/>
  <c r="Q44" i="82" s="1"/>
  <c r="Y239" i="83"/>
  <c r="Y36" i="71"/>
  <c r="Y141" i="71" s="1"/>
  <c r="Y217" i="71" s="1"/>
  <c r="Y20" i="41" s="1"/>
  <c r="AO40" i="41" s="1"/>
  <c r="AO20" i="65" s="1"/>
  <c r="N219" i="71"/>
  <c r="N22" i="41" s="1"/>
  <c r="L218" i="71"/>
  <c r="L21" i="41" s="1"/>
  <c r="R219" i="71"/>
  <c r="R22" i="41" s="1"/>
  <c r="AH42" i="41" s="1"/>
  <c r="AH22" i="65" s="1"/>
  <c r="T36" i="71"/>
  <c r="T141" i="71" s="1"/>
  <c r="T217" i="71" s="1"/>
  <c r="T20" i="41" s="1"/>
  <c r="AJ40" i="41" s="1"/>
  <c r="AJ20" i="65" s="1"/>
  <c r="T239" i="83"/>
  <c r="Q250" i="72"/>
  <c r="Q26" i="41" s="1"/>
  <c r="AG46" i="41" s="1"/>
  <c r="AG26" i="65" s="1"/>
  <c r="AG116" i="65" s="1"/>
  <c r="AG44" i="82" s="1"/>
  <c r="K218" i="71"/>
  <c r="K21" i="41" s="1"/>
  <c r="K41" i="41" s="1"/>
  <c r="K21" i="65" s="1"/>
  <c r="U218" i="71"/>
  <c r="U21" i="41" s="1"/>
  <c r="AK41" i="41" s="1"/>
  <c r="AK21" i="65" s="1"/>
  <c r="K250" i="72"/>
  <c r="K26" i="41" s="1"/>
  <c r="K46" i="41" s="1"/>
  <c r="K26" i="65" s="1"/>
  <c r="K116" i="65" s="1"/>
  <c r="K44" i="82" s="1"/>
  <c r="P212" i="73"/>
  <c r="P282" i="73"/>
  <c r="P45" i="74" s="1"/>
  <c r="P90" i="74" s="1"/>
  <c r="K282" i="73"/>
  <c r="K45" i="74" s="1"/>
  <c r="K90" i="74" s="1"/>
  <c r="K212" i="73"/>
  <c r="M282" i="73"/>
  <c r="M45" i="74" s="1"/>
  <c r="M90" i="74" s="1"/>
  <c r="M212" i="73"/>
  <c r="Q212" i="73"/>
  <c r="Q282" i="73"/>
  <c r="Q45" i="74" s="1"/>
  <c r="Q90" i="74" s="1"/>
  <c r="J276" i="73"/>
  <c r="J39" i="74" s="1"/>
  <c r="J84" i="74" s="1"/>
  <c r="J206" i="73"/>
  <c r="L257" i="73"/>
  <c r="L25" i="41" s="1"/>
  <c r="L276" i="73"/>
  <c r="L39" i="74" s="1"/>
  <c r="L84" i="74" s="1"/>
  <c r="L206" i="73"/>
  <c r="N276" i="73"/>
  <c r="N39" i="74" s="1"/>
  <c r="N84" i="74" s="1"/>
  <c r="N206" i="73"/>
  <c r="P213" i="73"/>
  <c r="P283" i="73"/>
  <c r="P46" i="74" s="1"/>
  <c r="P91" i="74" s="1"/>
  <c r="J213" i="73"/>
  <c r="J283" i="73"/>
  <c r="J46" i="74" s="1"/>
  <c r="J91" i="74" s="1"/>
  <c r="Q213" i="73"/>
  <c r="Q283" i="73"/>
  <c r="Q46" i="74" s="1"/>
  <c r="Q91" i="74" s="1"/>
  <c r="X250" i="72"/>
  <c r="X26" i="41" s="1"/>
  <c r="AN46" i="41" s="1"/>
  <c r="AN26" i="65" s="1"/>
  <c r="AN116" i="65" s="1"/>
  <c r="AL44" i="82" s="1"/>
  <c r="R250" i="72"/>
  <c r="R26" i="41" s="1"/>
  <c r="AH46" i="41" s="1"/>
  <c r="AH26" i="65" s="1"/>
  <c r="AH116" i="65" s="1"/>
  <c r="AH44" i="82" s="1"/>
  <c r="N208" i="73"/>
  <c r="N278" i="73"/>
  <c r="N41" i="74" s="1"/>
  <c r="N86" i="74" s="1"/>
  <c r="L208" i="73"/>
  <c r="L278" i="73"/>
  <c r="L41" i="74" s="1"/>
  <c r="L86" i="74" s="1"/>
  <c r="P208" i="73"/>
  <c r="P278" i="73"/>
  <c r="P41" i="74" s="1"/>
  <c r="P86" i="74" s="1"/>
  <c r="M208" i="73"/>
  <c r="M278" i="73"/>
  <c r="M41" i="74" s="1"/>
  <c r="M86" i="74" s="1"/>
  <c r="J279" i="73"/>
  <c r="J42" i="74" s="1"/>
  <c r="J87" i="74" s="1"/>
  <c r="J209" i="73"/>
  <c r="K279" i="73"/>
  <c r="K42" i="74" s="1"/>
  <c r="K87" i="74" s="1"/>
  <c r="K209" i="73"/>
  <c r="M209" i="73"/>
  <c r="M279" i="73"/>
  <c r="M42" i="74" s="1"/>
  <c r="M87" i="74" s="1"/>
  <c r="L210" i="73"/>
  <c r="L280" i="73"/>
  <c r="L43" i="74" s="1"/>
  <c r="L88" i="74" s="1"/>
  <c r="K210" i="73"/>
  <c r="K280" i="73"/>
  <c r="K43" i="74" s="1"/>
  <c r="K88" i="74" s="1"/>
  <c r="Q210" i="73"/>
  <c r="Q280" i="73"/>
  <c r="Q43" i="74" s="1"/>
  <c r="Q88" i="74" s="1"/>
  <c r="J211" i="73"/>
  <c r="J281" i="73"/>
  <c r="J44" i="74" s="1"/>
  <c r="J89" i="74" s="1"/>
  <c r="Q281" i="73"/>
  <c r="Q44" i="74" s="1"/>
  <c r="Q89" i="74" s="1"/>
  <c r="Q211" i="73"/>
  <c r="M281" i="73"/>
  <c r="M44" i="74" s="1"/>
  <c r="M89" i="74" s="1"/>
  <c r="M211" i="73"/>
  <c r="P281" i="73"/>
  <c r="P44" i="74" s="1"/>
  <c r="P89" i="74" s="1"/>
  <c r="P211" i="73"/>
  <c r="Q207" i="73"/>
  <c r="Q277" i="73"/>
  <c r="Q40" i="74" s="1"/>
  <c r="Q85" i="74" s="1"/>
  <c r="K277" i="73"/>
  <c r="K40" i="74" s="1"/>
  <c r="K85" i="74" s="1"/>
  <c r="K207" i="73"/>
  <c r="K215" i="73"/>
  <c r="K285" i="73"/>
  <c r="K48" i="74" s="1"/>
  <c r="K93" i="74" s="1"/>
  <c r="L285" i="73"/>
  <c r="L48" i="74" s="1"/>
  <c r="L93" i="74" s="1"/>
  <c r="L215" i="73"/>
  <c r="M285" i="73"/>
  <c r="M48" i="74" s="1"/>
  <c r="M93" i="74" s="1"/>
  <c r="M215" i="73"/>
  <c r="P215" i="73"/>
  <c r="P285" i="73"/>
  <c r="P48" i="74" s="1"/>
  <c r="P93" i="74" s="1"/>
  <c r="O214" i="73"/>
  <c r="O284" i="73"/>
  <c r="O47" i="74" s="1"/>
  <c r="O92" i="74" s="1"/>
  <c r="J284" i="73"/>
  <c r="J47" i="74" s="1"/>
  <c r="J92" i="74" s="1"/>
  <c r="J214" i="73"/>
  <c r="Q214" i="73"/>
  <c r="Q284" i="73"/>
  <c r="Q47" i="74" s="1"/>
  <c r="Q92" i="74" s="1"/>
  <c r="P214" i="73"/>
  <c r="P284" i="73"/>
  <c r="P47" i="74" s="1"/>
  <c r="P92" i="74" s="1"/>
  <c r="Q239" i="83"/>
  <c r="Q36" i="71"/>
  <c r="Q141" i="71" s="1"/>
  <c r="Q217" i="71" s="1"/>
  <c r="Q20" i="41" s="1"/>
  <c r="AG40" i="41" s="1"/>
  <c r="AG20" i="65" s="1"/>
  <c r="S219" i="71"/>
  <c r="S22" i="41" s="1"/>
  <c r="AI42" i="41" s="1"/>
  <c r="AI22" i="65" s="1"/>
  <c r="K219" i="71"/>
  <c r="K22" i="41" s="1"/>
  <c r="K42" i="41" s="1"/>
  <c r="K22" i="65" s="1"/>
  <c r="M218" i="71"/>
  <c r="M21" i="41" s="1"/>
  <c r="Q41" i="41" s="1"/>
  <c r="Q21" i="65" s="1"/>
  <c r="P36" i="71"/>
  <c r="P141" i="71" s="1"/>
  <c r="P217" i="71" s="1"/>
  <c r="P20" i="41" s="1"/>
  <c r="P239" i="83"/>
  <c r="W239" i="83"/>
  <c r="W36" i="71"/>
  <c r="W141" i="71" s="1"/>
  <c r="W217" i="71" s="1"/>
  <c r="W20" i="41" s="1"/>
  <c r="AM40" i="41" s="1"/>
  <c r="AM20" i="65" s="1"/>
  <c r="L36" i="71"/>
  <c r="L141" i="71" s="1"/>
  <c r="L217" i="71" s="1"/>
  <c r="L20" i="41" s="1"/>
  <c r="L239" i="83"/>
  <c r="O250" i="72"/>
  <c r="O26" i="41" s="1"/>
  <c r="L250" i="72"/>
  <c r="L26" i="41" s="1"/>
  <c r="S36" i="71"/>
  <c r="S141" i="71" s="1"/>
  <c r="S217" i="71" s="1"/>
  <c r="S20" i="41" s="1"/>
  <c r="AI40" i="41" s="1"/>
  <c r="AI20" i="65" s="1"/>
  <c r="S239" i="83"/>
  <c r="O219" i="71"/>
  <c r="O22" i="41" s="1"/>
  <c r="Y219" i="71"/>
  <c r="Y22" i="41" s="1"/>
  <c r="AO42" i="41" s="1"/>
  <c r="AO22" i="65" s="1"/>
  <c r="W218" i="71"/>
  <c r="W21" i="41" s="1"/>
  <c r="AM41" i="41" s="1"/>
  <c r="AM21" i="65" s="1"/>
  <c r="V218" i="71"/>
  <c r="V21" i="41" s="1"/>
  <c r="AL41" i="41" s="1"/>
  <c r="AL21" i="65" s="1"/>
  <c r="J218" i="71"/>
  <c r="J21" i="41" s="1"/>
  <c r="J41" i="41" s="1"/>
  <c r="J21" i="65" s="1"/>
  <c r="O282" i="73"/>
  <c r="O45" i="74" s="1"/>
  <c r="O90" i="74" s="1"/>
  <c r="O212" i="73"/>
  <c r="L212" i="73"/>
  <c r="L282" i="73"/>
  <c r="L45" i="74" s="1"/>
  <c r="L90" i="74" s="1"/>
  <c r="N282" i="73"/>
  <c r="N45" i="74" s="1"/>
  <c r="N90" i="74" s="1"/>
  <c r="N212" i="73"/>
  <c r="Q276" i="73"/>
  <c r="Q39" i="74" s="1"/>
  <c r="Q84" i="74" s="1"/>
  <c r="Q206" i="73"/>
  <c r="P276" i="73"/>
  <c r="P39" i="74" s="1"/>
  <c r="P84" i="74" s="1"/>
  <c r="P206" i="73"/>
  <c r="K206" i="73"/>
  <c r="K276" i="73"/>
  <c r="K39" i="74" s="1"/>
  <c r="K84" i="74" s="1"/>
  <c r="O206" i="73"/>
  <c r="O276" i="73"/>
  <c r="O39" i="74" s="1"/>
  <c r="O84" i="74" s="1"/>
  <c r="K213" i="73"/>
  <c r="K283" i="73"/>
  <c r="K46" i="74" s="1"/>
  <c r="K91" i="74" s="1"/>
  <c r="L213" i="73"/>
  <c r="L283" i="73"/>
  <c r="L46" i="74" s="1"/>
  <c r="L91" i="74" s="1"/>
  <c r="W250" i="72"/>
  <c r="W26" i="41" s="1"/>
  <c r="AM46" i="41" s="1"/>
  <c r="AM26" i="65" s="1"/>
  <c r="AM116" i="65" s="1"/>
  <c r="S250" i="72"/>
  <c r="S26" i="41" s="1"/>
  <c r="AI46" i="41" s="1"/>
  <c r="AI26" i="65" s="1"/>
  <c r="AI116" i="65" s="1"/>
  <c r="AI44" i="82" s="1"/>
  <c r="J208" i="73"/>
  <c r="J278" i="73"/>
  <c r="J41" i="74" s="1"/>
  <c r="J86" i="74" s="1"/>
  <c r="O208" i="73"/>
  <c r="O278" i="73"/>
  <c r="O41" i="74" s="1"/>
  <c r="O86" i="74" s="1"/>
  <c r="Q208" i="73"/>
  <c r="Q278" i="73"/>
  <c r="Q41" i="74" s="1"/>
  <c r="Q86" i="74" s="1"/>
  <c r="L209" i="73"/>
  <c r="L279" i="73"/>
  <c r="L42" i="74" s="1"/>
  <c r="L87" i="74" s="1"/>
  <c r="O209" i="73"/>
  <c r="O279" i="73"/>
  <c r="O42" i="74" s="1"/>
  <c r="O87" i="74" s="1"/>
  <c r="N279" i="73"/>
  <c r="N42" i="74" s="1"/>
  <c r="N87" i="74" s="1"/>
  <c r="N209" i="73"/>
  <c r="N280" i="73"/>
  <c r="N43" i="74" s="1"/>
  <c r="N88" i="74" s="1"/>
  <c r="N210" i="73"/>
  <c r="P210" i="73"/>
  <c r="P280" i="73"/>
  <c r="P43" i="74" s="1"/>
  <c r="P88" i="74" s="1"/>
  <c r="O210" i="73"/>
  <c r="O280" i="73"/>
  <c r="O43" i="74" s="1"/>
  <c r="O88" i="74" s="1"/>
  <c r="M210" i="73"/>
  <c r="M280" i="73"/>
  <c r="M43" i="74" s="1"/>
  <c r="M88" i="74" s="1"/>
  <c r="K211" i="73"/>
  <c r="K281" i="73"/>
  <c r="K44" i="74" s="1"/>
  <c r="K89" i="74" s="1"/>
  <c r="O211" i="73"/>
  <c r="O281" i="73"/>
  <c r="O44" i="74" s="1"/>
  <c r="O89" i="74" s="1"/>
  <c r="L207" i="73"/>
  <c r="L277" i="73"/>
  <c r="L40" i="74" s="1"/>
  <c r="L85" i="74" s="1"/>
  <c r="M207" i="73"/>
  <c r="M277" i="73"/>
  <c r="M40" i="74" s="1"/>
  <c r="M85" i="74" s="1"/>
  <c r="J207" i="73"/>
  <c r="J277" i="73"/>
  <c r="J40" i="74" s="1"/>
  <c r="J85" i="74" s="1"/>
  <c r="Q215" i="73"/>
  <c r="Q285" i="73"/>
  <c r="Q48" i="74" s="1"/>
  <c r="Q93" i="74" s="1"/>
  <c r="J215" i="73"/>
  <c r="J285" i="73"/>
  <c r="J48" i="74" s="1"/>
  <c r="J93" i="74" s="1"/>
  <c r="O285" i="73"/>
  <c r="O48" i="74" s="1"/>
  <c r="O93" i="74" s="1"/>
  <c r="O215" i="73"/>
  <c r="N285" i="73"/>
  <c r="N48" i="74" s="1"/>
  <c r="N93" i="74" s="1"/>
  <c r="N215" i="73"/>
  <c r="K214" i="73"/>
  <c r="K284" i="73"/>
  <c r="K47" i="74" s="1"/>
  <c r="K92" i="74" s="1"/>
  <c r="N214" i="73"/>
  <c r="N284" i="73"/>
  <c r="N47" i="74" s="1"/>
  <c r="N92" i="74" s="1"/>
  <c r="M214" i="73"/>
  <c r="M284" i="73"/>
  <c r="M47" i="74" s="1"/>
  <c r="M92" i="74" s="1"/>
  <c r="Y218" i="71"/>
  <c r="Y21" i="41" s="1"/>
  <c r="AO41" i="41" s="1"/>
  <c r="AO21" i="65" s="1"/>
  <c r="J36" i="71"/>
  <c r="J239" i="83"/>
  <c r="Q218" i="71"/>
  <c r="Q21" i="41" s="1"/>
  <c r="AG41" i="41" s="1"/>
  <c r="AG21" i="65" s="1"/>
  <c r="P250" i="72"/>
  <c r="P26" i="41" s="1"/>
  <c r="Q219" i="71"/>
  <c r="Q22" i="41" s="1"/>
  <c r="AG42" i="41" s="1"/>
  <c r="AG22" i="65" s="1"/>
  <c r="O218" i="71"/>
  <c r="O21" i="41" s="1"/>
  <c r="N250" i="72"/>
  <c r="N26" i="41" s="1"/>
  <c r="P218" i="71"/>
  <c r="P21" i="41" s="1"/>
  <c r="V239" i="83"/>
  <c r="V36" i="71"/>
  <c r="V141" i="71" s="1"/>
  <c r="V217" i="71" s="1"/>
  <c r="V20" i="41" s="1"/>
  <c r="AL40" i="41" s="1"/>
  <c r="AL20" i="65" s="1"/>
  <c r="N218" i="71"/>
  <c r="N21" i="41" s="1"/>
  <c r="K36" i="71"/>
  <c r="K141" i="71" s="1"/>
  <c r="K217" i="71" s="1"/>
  <c r="K20" i="41" s="1"/>
  <c r="K40" i="41" s="1"/>
  <c r="K20" i="65" s="1"/>
  <c r="K239" i="83"/>
  <c r="X218" i="71"/>
  <c r="X21" i="41" s="1"/>
  <c r="AN41" i="41" s="1"/>
  <c r="AN21" i="65" s="1"/>
  <c r="T218" i="71"/>
  <c r="T21" i="41" s="1"/>
  <c r="AJ41" i="41" s="1"/>
  <c r="AJ21" i="65" s="1"/>
  <c r="J219" i="71"/>
  <c r="J22" i="41" s="1"/>
  <c r="J42" i="41" s="1"/>
  <c r="J22" i="65" s="1"/>
  <c r="J282" i="73"/>
  <c r="J45" i="74" s="1"/>
  <c r="J90" i="74" s="1"/>
  <c r="J212" i="73"/>
  <c r="P257" i="73"/>
  <c r="P25" i="41" s="1"/>
  <c r="K257" i="73"/>
  <c r="K25" i="41" s="1"/>
  <c r="K45" i="41" s="1"/>
  <c r="K25" i="65" s="1"/>
  <c r="K115" i="65" s="1"/>
  <c r="K43" i="82" s="1"/>
  <c r="N257" i="73"/>
  <c r="N25" i="41" s="1"/>
  <c r="M257" i="73"/>
  <c r="M25" i="41" s="1"/>
  <c r="Q45" i="41" s="1"/>
  <c r="Q25" i="65" s="1"/>
  <c r="Q115" i="65" s="1"/>
  <c r="Q43" i="82" s="1"/>
  <c r="M283" i="73"/>
  <c r="M46" i="74" s="1"/>
  <c r="M91" i="74" s="1"/>
  <c r="M213" i="73"/>
  <c r="Y250" i="72"/>
  <c r="Y26" i="41" s="1"/>
  <c r="AO46" i="41" s="1"/>
  <c r="AO26" i="65" s="1"/>
  <c r="AO116" i="65" s="1"/>
  <c r="AO127" i="65" s="1"/>
  <c r="AO156" i="65" s="1"/>
  <c r="AO61" i="105" s="1"/>
  <c r="AO101" i="105" s="1"/>
  <c r="V250" i="72"/>
  <c r="V26" i="41" s="1"/>
  <c r="AL46" i="41" s="1"/>
  <c r="AL26" i="65" s="1"/>
  <c r="AL116" i="65" s="1"/>
  <c r="AK44" i="82" s="1"/>
  <c r="K208" i="73"/>
  <c r="K278" i="73"/>
  <c r="K41" i="74" s="1"/>
  <c r="K86" i="74" s="1"/>
  <c r="N211" i="73"/>
  <c r="N281" i="73"/>
  <c r="N44" i="74" s="1"/>
  <c r="N89" i="74" s="1"/>
  <c r="O277" i="73"/>
  <c r="O40" i="74" s="1"/>
  <c r="O85" i="74" s="1"/>
  <c r="O207" i="73"/>
  <c r="P42" i="41" l="1"/>
  <c r="P78" i="41" s="1"/>
  <c r="AK127" i="65"/>
  <c r="AK156" i="65" s="1"/>
  <c r="AK61" i="105" s="1"/>
  <c r="AK101" i="105" s="1"/>
  <c r="AD42" i="41"/>
  <c r="AD78" i="41" s="1"/>
  <c r="O42" i="41"/>
  <c r="O22" i="65" s="1"/>
  <c r="M42" i="41"/>
  <c r="M78" i="41" s="1"/>
  <c r="AE42" i="41"/>
  <c r="AE78" i="41" s="1"/>
  <c r="AC42" i="41"/>
  <c r="AC78" i="41" s="1"/>
  <c r="AF42" i="41"/>
  <c r="AF22" i="65" s="1"/>
  <c r="L42" i="41"/>
  <c r="L22" i="65" s="1"/>
  <c r="AI165" i="65"/>
  <c r="AI70" i="105" s="1"/>
  <c r="AI127" i="65"/>
  <c r="AI156" i="65" s="1"/>
  <c r="AI61" i="105" s="1"/>
  <c r="AI101" i="105" s="1"/>
  <c r="AI145" i="65"/>
  <c r="AI174" i="65" s="1"/>
  <c r="AI79" i="105" s="1"/>
  <c r="AI199" i="105" s="1"/>
  <c r="AJ78" i="41"/>
  <c r="AJ22" i="65"/>
  <c r="AM78" i="41"/>
  <c r="AM22" i="65"/>
  <c r="Q144" i="65"/>
  <c r="Q173" i="65" s="1"/>
  <c r="Q78" i="105" s="1"/>
  <c r="Q198" i="105" s="1"/>
  <c r="Q135" i="65"/>
  <c r="Q164" i="65" s="1"/>
  <c r="Q69" i="105" s="1"/>
  <c r="Q187" i="105" s="1"/>
  <c r="Q126" i="65"/>
  <c r="Q155" i="65" s="1"/>
  <c r="Q60" i="105" s="1"/>
  <c r="Q100" i="105" s="1"/>
  <c r="AN145" i="65"/>
  <c r="AN174" i="65" s="1"/>
  <c r="AN79" i="105" s="1"/>
  <c r="AN199" i="105" s="1"/>
  <c r="AN127" i="65"/>
  <c r="AN156" i="65" s="1"/>
  <c r="AN61" i="105" s="1"/>
  <c r="AN101" i="105" s="1"/>
  <c r="Q78" i="41"/>
  <c r="Q22" i="65"/>
  <c r="AG127" i="65"/>
  <c r="AG156" i="65" s="1"/>
  <c r="AG61" i="105" s="1"/>
  <c r="AG101" i="105" s="1"/>
  <c r="AG145" i="65"/>
  <c r="AG174" i="65" s="1"/>
  <c r="AG79" i="105" s="1"/>
  <c r="AG199" i="105" s="1"/>
  <c r="AG136" i="65"/>
  <c r="AG165" i="65" s="1"/>
  <c r="AG70" i="105" s="1"/>
  <c r="AG188" i="105" s="1"/>
  <c r="Q145" i="65"/>
  <c r="Q174" i="65" s="1"/>
  <c r="Q79" i="105" s="1"/>
  <c r="Q199" i="105" s="1"/>
  <c r="Q136" i="65"/>
  <c r="Q165" i="65" s="1"/>
  <c r="Q70" i="105" s="1"/>
  <c r="Q188" i="105" s="1"/>
  <c r="Q127" i="65"/>
  <c r="Q156" i="65" s="1"/>
  <c r="Q61" i="105" s="1"/>
  <c r="Q101" i="105" s="1"/>
  <c r="AJ145" i="65"/>
  <c r="AJ174" i="65" s="1"/>
  <c r="AJ79" i="105" s="1"/>
  <c r="AJ199" i="105" s="1"/>
  <c r="AJ127" i="65"/>
  <c r="AJ156" i="65" s="1"/>
  <c r="AJ61" i="105" s="1"/>
  <c r="AJ101" i="105" s="1"/>
  <c r="AJ136" i="65"/>
  <c r="AJ165" i="65" s="1"/>
  <c r="AJ70" i="105" s="1"/>
  <c r="AJ188" i="105" s="1"/>
  <c r="AH77" i="41"/>
  <c r="AH21" i="65"/>
  <c r="AH145" i="65"/>
  <c r="AH174" i="65" s="1"/>
  <c r="AH79" i="105" s="1"/>
  <c r="AH199" i="105" s="1"/>
  <c r="AH136" i="65"/>
  <c r="AH165" i="65" s="1"/>
  <c r="AH70" i="105" s="1"/>
  <c r="AH188" i="105" s="1"/>
  <c r="AH127" i="65"/>
  <c r="AH156" i="65" s="1"/>
  <c r="AH61" i="105" s="1"/>
  <c r="AH101" i="105" s="1"/>
  <c r="N78" i="41"/>
  <c r="N22" i="65"/>
  <c r="AL145" i="65"/>
  <c r="AL174" i="65" s="1"/>
  <c r="AL79" i="105" s="1"/>
  <c r="AL199" i="105" s="1"/>
  <c r="AL127" i="65"/>
  <c r="AL156" i="65" s="1"/>
  <c r="AL61" i="105" s="1"/>
  <c r="AL101" i="105" s="1"/>
  <c r="AM165" i="65"/>
  <c r="AM70" i="105" s="1"/>
  <c r="AM111" i="105" s="1"/>
  <c r="AM112" i="105" s="1"/>
  <c r="AM127" i="65"/>
  <c r="AM156" i="65" s="1"/>
  <c r="AM61" i="105" s="1"/>
  <c r="AM101" i="105" s="1"/>
  <c r="K144" i="65"/>
  <c r="K173" i="65" s="1"/>
  <c r="K78" i="105" s="1"/>
  <c r="K198" i="105" s="1"/>
  <c r="K126" i="65"/>
  <c r="K155" i="65" s="1"/>
  <c r="K60" i="105" s="1"/>
  <c r="K100" i="105" s="1"/>
  <c r="K135" i="65"/>
  <c r="K164" i="65" s="1"/>
  <c r="K69" i="105" s="1"/>
  <c r="K187" i="105" s="1"/>
  <c r="K127" i="65"/>
  <c r="K156" i="65" s="1"/>
  <c r="K61" i="105" s="1"/>
  <c r="K101" i="105" s="1"/>
  <c r="K145" i="65"/>
  <c r="K174" i="65" s="1"/>
  <c r="K79" i="105" s="1"/>
  <c r="K199" i="105" s="1"/>
  <c r="K136" i="65"/>
  <c r="K165" i="65" s="1"/>
  <c r="K70" i="105" s="1"/>
  <c r="K188" i="105" s="1"/>
  <c r="AG81" i="41"/>
  <c r="AG25" i="65"/>
  <c r="AG115" i="65" s="1"/>
  <c r="AG43" i="82" s="1"/>
  <c r="AK78" i="41"/>
  <c r="AN78" i="41"/>
  <c r="Y116" i="74"/>
  <c r="Y148" i="74" s="1"/>
  <c r="U116" i="74"/>
  <c r="U148" i="74" s="1"/>
  <c r="N116" i="74"/>
  <c r="N148" i="74" s="1"/>
  <c r="S116" i="74"/>
  <c r="S148" i="74" s="1"/>
  <c r="X116" i="74"/>
  <c r="X148" i="74" s="1"/>
  <c r="K116" i="74"/>
  <c r="K148" i="74" s="1"/>
  <c r="V116" i="74"/>
  <c r="V148" i="74" s="1"/>
  <c r="P116" i="74"/>
  <c r="P148" i="74" s="1"/>
  <c r="O116" i="74"/>
  <c r="O148" i="74" s="1"/>
  <c r="T116" i="74"/>
  <c r="T148" i="74" s="1"/>
  <c r="M116" i="74"/>
  <c r="M148" i="74" s="1"/>
  <c r="W116" i="74"/>
  <c r="W148" i="74" s="1"/>
  <c r="R116" i="74"/>
  <c r="R148" i="74" s="1"/>
  <c r="Q116" i="74"/>
  <c r="Q148" i="74" s="1"/>
  <c r="K76" i="41"/>
  <c r="AF46" i="41"/>
  <c r="AB46" i="41"/>
  <c r="AB26" i="65" s="1"/>
  <c r="AB116" i="65" s="1"/>
  <c r="AB44" i="82" s="1"/>
  <c r="AC46" i="41"/>
  <c r="AD46" i="41"/>
  <c r="AE46" i="41"/>
  <c r="AO78" i="41"/>
  <c r="O46" i="41"/>
  <c r="P46" i="41"/>
  <c r="L46" i="41"/>
  <c r="L26" i="65" s="1"/>
  <c r="L116" i="65" s="1"/>
  <c r="L44" i="82" s="1"/>
  <c r="M46" i="41"/>
  <c r="N46" i="41"/>
  <c r="Q77" i="41"/>
  <c r="L117" i="74"/>
  <c r="L149" i="74" s="1"/>
  <c r="J117" i="74"/>
  <c r="J149" i="74" s="1"/>
  <c r="K82" i="41"/>
  <c r="T42" i="41"/>
  <c r="R42" i="41"/>
  <c r="R22" i="65" s="1"/>
  <c r="S42" i="41"/>
  <c r="U42" i="41"/>
  <c r="V42" i="41"/>
  <c r="AF45" i="41"/>
  <c r="AB45" i="41"/>
  <c r="AB25" i="65" s="1"/>
  <c r="AB115" i="65" s="1"/>
  <c r="AB43" i="82" s="1"/>
  <c r="AD45" i="41"/>
  <c r="AC45" i="41"/>
  <c r="AE45" i="41"/>
  <c r="AJ77" i="41"/>
  <c r="U41" i="41"/>
  <c r="T41" i="41"/>
  <c r="V41" i="41"/>
  <c r="S41" i="41"/>
  <c r="R41" i="41"/>
  <c r="R21" i="65" s="1"/>
  <c r="T46" i="41"/>
  <c r="S46" i="41"/>
  <c r="V46" i="41"/>
  <c r="U46" i="41"/>
  <c r="R46" i="41"/>
  <c r="R26" i="65" s="1"/>
  <c r="R116" i="65" s="1"/>
  <c r="R44" i="82" s="1"/>
  <c r="AG77" i="41"/>
  <c r="V122" i="74"/>
  <c r="V154" i="74" s="1"/>
  <c r="Y122" i="74"/>
  <c r="Y154" i="74" s="1"/>
  <c r="S122" i="74"/>
  <c r="S154" i="74" s="1"/>
  <c r="Q122" i="74"/>
  <c r="Q154" i="74" s="1"/>
  <c r="N122" i="74"/>
  <c r="N154" i="74" s="1"/>
  <c r="T122" i="74"/>
  <c r="T154" i="74" s="1"/>
  <c r="X122" i="74"/>
  <c r="X154" i="74" s="1"/>
  <c r="K122" i="74"/>
  <c r="K154" i="74" s="1"/>
  <c r="U122" i="74"/>
  <c r="U154" i="74" s="1"/>
  <c r="O122" i="74"/>
  <c r="O154" i="74" s="1"/>
  <c r="R122" i="74"/>
  <c r="R154" i="74" s="1"/>
  <c r="M122" i="74"/>
  <c r="M154" i="74" s="1"/>
  <c r="P122" i="74"/>
  <c r="P154" i="74" s="1"/>
  <c r="W122" i="74"/>
  <c r="W154" i="74" s="1"/>
  <c r="AI82" i="41"/>
  <c r="T121" i="74"/>
  <c r="T153" i="74" s="1"/>
  <c r="Q121" i="74"/>
  <c r="Q153" i="74" s="1"/>
  <c r="M121" i="74"/>
  <c r="M153" i="74" s="1"/>
  <c r="W121" i="74"/>
  <c r="W153" i="74" s="1"/>
  <c r="U121" i="74"/>
  <c r="U153" i="74" s="1"/>
  <c r="V121" i="74"/>
  <c r="V153" i="74" s="1"/>
  <c r="K121" i="74"/>
  <c r="K153" i="74" s="1"/>
  <c r="R121" i="74"/>
  <c r="R153" i="74" s="1"/>
  <c r="Y121" i="74"/>
  <c r="Y153" i="74" s="1"/>
  <c r="S121" i="74"/>
  <c r="S153" i="74" s="1"/>
  <c r="X121" i="74"/>
  <c r="X153" i="74" s="1"/>
  <c r="P121" i="74"/>
  <c r="P153" i="74" s="1"/>
  <c r="N121" i="74"/>
  <c r="N153" i="74" s="1"/>
  <c r="O121" i="74"/>
  <c r="O153" i="74" s="1"/>
  <c r="P114" i="74"/>
  <c r="P146" i="74" s="1"/>
  <c r="T114" i="74"/>
  <c r="T146" i="74" s="1"/>
  <c r="N114" i="74"/>
  <c r="N146" i="74" s="1"/>
  <c r="U114" i="74"/>
  <c r="U146" i="74" s="1"/>
  <c r="Q114" i="74"/>
  <c r="Q146" i="74" s="1"/>
  <c r="M114" i="74"/>
  <c r="M146" i="74" s="1"/>
  <c r="O114" i="74"/>
  <c r="O146" i="74" s="1"/>
  <c r="R114" i="74"/>
  <c r="R146" i="74" s="1"/>
  <c r="Y114" i="74"/>
  <c r="Y146" i="74" s="1"/>
  <c r="K114" i="74"/>
  <c r="K146" i="74" s="1"/>
  <c r="X114" i="74"/>
  <c r="X146" i="74" s="1"/>
  <c r="S114" i="74"/>
  <c r="S146" i="74" s="1"/>
  <c r="V114" i="74"/>
  <c r="V146" i="74" s="1"/>
  <c r="W114" i="74"/>
  <c r="W146" i="74" s="1"/>
  <c r="Q256" i="73"/>
  <c r="Q24" i="41" s="1"/>
  <c r="AG44" i="41" s="1"/>
  <c r="AG24" i="65" s="1"/>
  <c r="AG114" i="65" s="1"/>
  <c r="AG42" i="82" s="1"/>
  <c r="J77" i="41"/>
  <c r="Y42" i="41"/>
  <c r="X42" i="41"/>
  <c r="Z42" i="41"/>
  <c r="W42" i="41"/>
  <c r="W22" i="65" s="1"/>
  <c r="AA42" i="41"/>
  <c r="Y46" i="41"/>
  <c r="Z46" i="41"/>
  <c r="AA46" i="41"/>
  <c r="X46" i="41"/>
  <c r="W46" i="41"/>
  <c r="W26" i="65" s="1"/>
  <c r="W116" i="65" s="1"/>
  <c r="W44" i="82" s="1"/>
  <c r="K78" i="41"/>
  <c r="AH82" i="41"/>
  <c r="L121" i="74"/>
  <c r="L153" i="74" s="1"/>
  <c r="J121" i="74"/>
  <c r="J153" i="74" s="1"/>
  <c r="N256" i="73"/>
  <c r="N24" i="41" s="1"/>
  <c r="L45" i="41"/>
  <c r="L25" i="65" s="1"/>
  <c r="L115" i="65" s="1"/>
  <c r="L43" i="82" s="1"/>
  <c r="P45" i="41"/>
  <c r="O45" i="41"/>
  <c r="M45" i="41"/>
  <c r="N45" i="41"/>
  <c r="R120" i="74"/>
  <c r="R152" i="74" s="1"/>
  <c r="K120" i="74"/>
  <c r="K152" i="74" s="1"/>
  <c r="Y120" i="74"/>
  <c r="Y152" i="74" s="1"/>
  <c r="P120" i="74"/>
  <c r="P152" i="74" s="1"/>
  <c r="N120" i="74"/>
  <c r="N152" i="74" s="1"/>
  <c r="X120" i="74"/>
  <c r="X152" i="74" s="1"/>
  <c r="U120" i="74"/>
  <c r="U152" i="74" s="1"/>
  <c r="O120" i="74"/>
  <c r="O152" i="74" s="1"/>
  <c r="T120" i="74"/>
  <c r="T152" i="74" s="1"/>
  <c r="V120" i="74"/>
  <c r="V152" i="74" s="1"/>
  <c r="S120" i="74"/>
  <c r="S152" i="74" s="1"/>
  <c r="M120" i="74"/>
  <c r="M152" i="74" s="1"/>
  <c r="Q120" i="74"/>
  <c r="Q152" i="74" s="1"/>
  <c r="W120" i="74"/>
  <c r="W152" i="74" s="1"/>
  <c r="AK77" i="41"/>
  <c r="AJ76" i="41"/>
  <c r="AO76" i="41"/>
  <c r="AI77" i="41"/>
  <c r="AH76" i="41"/>
  <c r="AJ82" i="41"/>
  <c r="J207" i="72"/>
  <c r="J237" i="72" s="1"/>
  <c r="J250" i="72" s="1"/>
  <c r="J26" i="41" s="1"/>
  <c r="J46" i="41" s="1"/>
  <c r="J26" i="65" s="1"/>
  <c r="K81" i="41"/>
  <c r="J78" i="41"/>
  <c r="AE41" i="41"/>
  <c r="AF41" i="41"/>
  <c r="AC41" i="41"/>
  <c r="AB41" i="41"/>
  <c r="AB21" i="65" s="1"/>
  <c r="AD41" i="41"/>
  <c r="AO77" i="41"/>
  <c r="O256" i="73"/>
  <c r="O24" i="41" s="1"/>
  <c r="AM76" i="41"/>
  <c r="AL78" i="41"/>
  <c r="J81" i="41"/>
  <c r="J115" i="65"/>
  <c r="AN76" i="41"/>
  <c r="AL82" i="41"/>
  <c r="Q81" i="41"/>
  <c r="AN77" i="41"/>
  <c r="AL76" i="41"/>
  <c r="AA41" i="41"/>
  <c r="Y41" i="41"/>
  <c r="Z41" i="41"/>
  <c r="X41" i="41"/>
  <c r="W41" i="41"/>
  <c r="W21" i="65" s="1"/>
  <c r="H239" i="83"/>
  <c r="H241" i="83" s="1"/>
  <c r="AM82" i="41"/>
  <c r="K256" i="73"/>
  <c r="K24" i="41" s="1"/>
  <c r="K44" i="41" s="1"/>
  <c r="K24" i="65" s="1"/>
  <c r="K114" i="65" s="1"/>
  <c r="K42" i="82" s="1"/>
  <c r="AL77" i="41"/>
  <c r="AI78" i="41"/>
  <c r="L122" i="74"/>
  <c r="L154" i="74" s="1"/>
  <c r="J122" i="74"/>
  <c r="J154" i="74" s="1"/>
  <c r="P115" i="74"/>
  <c r="P147" i="74" s="1"/>
  <c r="W115" i="74"/>
  <c r="W147" i="74" s="1"/>
  <c r="O115" i="74"/>
  <c r="O147" i="74" s="1"/>
  <c r="Y115" i="74"/>
  <c r="Y147" i="74" s="1"/>
  <c r="X115" i="74"/>
  <c r="X147" i="74" s="1"/>
  <c r="S115" i="74"/>
  <c r="S147" i="74" s="1"/>
  <c r="R115" i="74"/>
  <c r="R147" i="74" s="1"/>
  <c r="N115" i="74"/>
  <c r="N147" i="74" s="1"/>
  <c r="Q115" i="74"/>
  <c r="Q147" i="74" s="1"/>
  <c r="V115" i="74"/>
  <c r="V147" i="74" s="1"/>
  <c r="M115" i="74"/>
  <c r="M147" i="74" s="1"/>
  <c r="K115" i="74"/>
  <c r="K147" i="74" s="1"/>
  <c r="T115" i="74"/>
  <c r="T147" i="74" s="1"/>
  <c r="U115" i="74"/>
  <c r="U147" i="74" s="1"/>
  <c r="K117" i="74"/>
  <c r="K149" i="74" s="1"/>
  <c r="S117" i="74"/>
  <c r="S149" i="74" s="1"/>
  <c r="P117" i="74"/>
  <c r="P149" i="74" s="1"/>
  <c r="O117" i="74"/>
  <c r="O149" i="74" s="1"/>
  <c r="T117" i="74"/>
  <c r="T149" i="74" s="1"/>
  <c r="U117" i="74"/>
  <c r="U149" i="74" s="1"/>
  <c r="V117" i="74"/>
  <c r="V149" i="74" s="1"/>
  <c r="R117" i="74"/>
  <c r="R149" i="74" s="1"/>
  <c r="W117" i="74"/>
  <c r="W149" i="74" s="1"/>
  <c r="N117" i="74"/>
  <c r="N149" i="74" s="1"/>
  <c r="Y117" i="74"/>
  <c r="Y149" i="74" s="1"/>
  <c r="M117" i="74"/>
  <c r="M149" i="74" s="1"/>
  <c r="X117" i="74"/>
  <c r="X149" i="74" s="1"/>
  <c r="Q117" i="74"/>
  <c r="Q149" i="74" s="1"/>
  <c r="AN82" i="41"/>
  <c r="J256" i="73"/>
  <c r="J24" i="41" s="1"/>
  <c r="J44" i="41" s="1"/>
  <c r="J24" i="65" s="1"/>
  <c r="K77" i="41"/>
  <c r="AH78" i="41"/>
  <c r="W40" i="41"/>
  <c r="W20" i="65" s="1"/>
  <c r="X40" i="41"/>
  <c r="X20" i="65" s="1"/>
  <c r="Z40" i="41"/>
  <c r="Z20" i="65" s="1"/>
  <c r="Y40" i="41"/>
  <c r="Y20" i="65" s="1"/>
  <c r="AA40" i="41"/>
  <c r="AA20" i="65" s="1"/>
  <c r="AK82" i="41"/>
  <c r="AK76" i="41"/>
  <c r="R40" i="41"/>
  <c r="R20" i="65" s="1"/>
  <c r="S40" i="41"/>
  <c r="S20" i="65" s="1"/>
  <c r="U40" i="41"/>
  <c r="U20" i="65" s="1"/>
  <c r="T40" i="41"/>
  <c r="T20" i="65" s="1"/>
  <c r="V40" i="41"/>
  <c r="V20" i="65" s="1"/>
  <c r="AO82" i="41"/>
  <c r="S45" i="41"/>
  <c r="U45" i="41"/>
  <c r="T45" i="41"/>
  <c r="V45" i="41"/>
  <c r="R45" i="41"/>
  <c r="R25" i="65" s="1"/>
  <c r="R115" i="65" s="1"/>
  <c r="R43" i="82" s="1"/>
  <c r="L120" i="74"/>
  <c r="L152" i="74" s="1"/>
  <c r="J120" i="74"/>
  <c r="J152" i="74" s="1"/>
  <c r="AG78" i="41"/>
  <c r="J141" i="71"/>
  <c r="J217" i="71" s="1"/>
  <c r="J20" i="41" s="1"/>
  <c r="J40" i="41" s="1"/>
  <c r="J20" i="65" s="1"/>
  <c r="L123" i="74"/>
  <c r="L155" i="74" s="1"/>
  <c r="J123" i="74"/>
  <c r="J155" i="74" s="1"/>
  <c r="J115" i="74"/>
  <c r="J147" i="74" s="1"/>
  <c r="L115" i="74"/>
  <c r="L147" i="74" s="1"/>
  <c r="X119" i="74"/>
  <c r="X151" i="74" s="1"/>
  <c r="Y119" i="74"/>
  <c r="Y151" i="74" s="1"/>
  <c r="Q119" i="74"/>
  <c r="Q151" i="74" s="1"/>
  <c r="P119" i="74"/>
  <c r="P151" i="74" s="1"/>
  <c r="W119" i="74"/>
  <c r="W151" i="74" s="1"/>
  <c r="K119" i="74"/>
  <c r="K151" i="74" s="1"/>
  <c r="T119" i="74"/>
  <c r="T151" i="74" s="1"/>
  <c r="S119" i="74"/>
  <c r="S151" i="74" s="1"/>
  <c r="U119" i="74"/>
  <c r="U151" i="74" s="1"/>
  <c r="O119" i="74"/>
  <c r="O151" i="74" s="1"/>
  <c r="R119" i="74"/>
  <c r="R151" i="74" s="1"/>
  <c r="M119" i="74"/>
  <c r="M151" i="74" s="1"/>
  <c r="N119" i="74"/>
  <c r="N151" i="74" s="1"/>
  <c r="V119" i="74"/>
  <c r="V151" i="74" s="1"/>
  <c r="J116" i="74"/>
  <c r="J148" i="74" s="1"/>
  <c r="L116" i="74"/>
  <c r="L148" i="74" s="1"/>
  <c r="P256" i="73"/>
  <c r="P24" i="41" s="1"/>
  <c r="AM77" i="41"/>
  <c r="AI76" i="41"/>
  <c r="N40" i="41"/>
  <c r="N20" i="65" s="1"/>
  <c r="O40" i="41"/>
  <c r="O20" i="65" s="1"/>
  <c r="P40" i="41"/>
  <c r="P20" i="65" s="1"/>
  <c r="L40" i="41"/>
  <c r="L20" i="65" s="1"/>
  <c r="M40" i="41"/>
  <c r="M20" i="65" s="1"/>
  <c r="AF40" i="41"/>
  <c r="AF20" i="65" s="1"/>
  <c r="AE40" i="41"/>
  <c r="AE20" i="65" s="1"/>
  <c r="AB40" i="41"/>
  <c r="AB20" i="65" s="1"/>
  <c r="AD40" i="41"/>
  <c r="AD20" i="65" s="1"/>
  <c r="AC40" i="41"/>
  <c r="AC20" i="65" s="1"/>
  <c r="AG76" i="41"/>
  <c r="Q123" i="74"/>
  <c r="Q155" i="74" s="1"/>
  <c r="U123" i="74"/>
  <c r="U155" i="74" s="1"/>
  <c r="W123" i="74"/>
  <c r="W155" i="74" s="1"/>
  <c r="O123" i="74"/>
  <c r="O155" i="74" s="1"/>
  <c r="T123" i="74"/>
  <c r="T155" i="74" s="1"/>
  <c r="V123" i="74"/>
  <c r="V155" i="74" s="1"/>
  <c r="R123" i="74"/>
  <c r="R155" i="74" s="1"/>
  <c r="K123" i="74"/>
  <c r="K155" i="74" s="1"/>
  <c r="Y123" i="74"/>
  <c r="Y155" i="74" s="1"/>
  <c r="N123" i="74"/>
  <c r="N155" i="74" s="1"/>
  <c r="M123" i="74"/>
  <c r="M155" i="74" s="1"/>
  <c r="S123" i="74"/>
  <c r="S155" i="74" s="1"/>
  <c r="P123" i="74"/>
  <c r="P155" i="74" s="1"/>
  <c r="X123" i="74"/>
  <c r="X155" i="74" s="1"/>
  <c r="L119" i="74"/>
  <c r="L151" i="74" s="1"/>
  <c r="J119" i="74"/>
  <c r="J151" i="74" s="1"/>
  <c r="N118" i="74"/>
  <c r="N150" i="74" s="1"/>
  <c r="S118" i="74"/>
  <c r="S150" i="74" s="1"/>
  <c r="M118" i="74"/>
  <c r="M150" i="74" s="1"/>
  <c r="U118" i="74"/>
  <c r="U150" i="74" s="1"/>
  <c r="K118" i="74"/>
  <c r="K150" i="74" s="1"/>
  <c r="R118" i="74"/>
  <c r="R150" i="74" s="1"/>
  <c r="Q118" i="74"/>
  <c r="Q150" i="74" s="1"/>
  <c r="X118" i="74"/>
  <c r="X150" i="74" s="1"/>
  <c r="O118" i="74"/>
  <c r="O150" i="74" s="1"/>
  <c r="W118" i="74"/>
  <c r="W150" i="74" s="1"/>
  <c r="V118" i="74"/>
  <c r="V150" i="74" s="1"/>
  <c r="T118" i="74"/>
  <c r="T150" i="74" s="1"/>
  <c r="P118" i="74"/>
  <c r="P150" i="74" s="1"/>
  <c r="Y118" i="74"/>
  <c r="Y150" i="74" s="1"/>
  <c r="L256" i="73"/>
  <c r="L24" i="41" s="1"/>
  <c r="L114" i="74"/>
  <c r="L146" i="74" s="1"/>
  <c r="J114" i="74"/>
  <c r="J146" i="74" s="1"/>
  <c r="AG82" i="41"/>
  <c r="M41" i="41"/>
  <c r="N41" i="41"/>
  <c r="P41" i="41"/>
  <c r="L41" i="41"/>
  <c r="L21" i="65" s="1"/>
  <c r="O41" i="41"/>
  <c r="Q82" i="41"/>
  <c r="M256" i="73"/>
  <c r="M24" i="41" s="1"/>
  <c r="Q44" i="41" s="1"/>
  <c r="Q24" i="65" s="1"/>
  <c r="Q114" i="65" s="1"/>
  <c r="Q42" i="82" s="1"/>
  <c r="AA45" i="41"/>
  <c r="Z45" i="41"/>
  <c r="Y45" i="41"/>
  <c r="X45" i="41"/>
  <c r="W45" i="41"/>
  <c r="W25" i="65" s="1"/>
  <c r="W115" i="65" s="1"/>
  <c r="W43" i="82" s="1"/>
  <c r="AB78" i="41"/>
  <c r="J118" i="74"/>
  <c r="J150" i="74" s="1"/>
  <c r="L118" i="74"/>
  <c r="L150" i="74" s="1"/>
  <c r="Q76" i="41"/>
  <c r="P22" i="65" l="1"/>
  <c r="AD22" i="65"/>
  <c r="AI188" i="105"/>
  <c r="AI111" i="105"/>
  <c r="O78" i="41"/>
  <c r="K121" i="105"/>
  <c r="K120" i="105"/>
  <c r="AL121" i="105"/>
  <c r="AH111" i="105"/>
  <c r="AJ111" i="105"/>
  <c r="Q111" i="105"/>
  <c r="Q110" i="105"/>
  <c r="AH121" i="105"/>
  <c r="Q121" i="105"/>
  <c r="Q120" i="105"/>
  <c r="K110" i="105"/>
  <c r="AJ121" i="105"/>
  <c r="AG111" i="105"/>
  <c r="AN121" i="105"/>
  <c r="AI121" i="105"/>
  <c r="K111" i="105"/>
  <c r="AG121" i="105"/>
  <c r="M22" i="65"/>
  <c r="AE22" i="65"/>
  <c r="L78" i="41"/>
  <c r="AC22" i="65"/>
  <c r="AF78" i="41"/>
  <c r="S81" i="41"/>
  <c r="S25" i="65"/>
  <c r="S115" i="65" s="1"/>
  <c r="S43" i="82" s="1"/>
  <c r="AE77" i="41"/>
  <c r="AE21" i="65"/>
  <c r="W145" i="65"/>
  <c r="W174" i="65" s="1"/>
  <c r="W79" i="105" s="1"/>
  <c r="W127" i="65"/>
  <c r="W156" i="65" s="1"/>
  <c r="W61" i="105" s="1"/>
  <c r="W101" i="105" s="1"/>
  <c r="X78" i="41"/>
  <c r="X22" i="65"/>
  <c r="R145" i="65"/>
  <c r="R174" i="65" s="1"/>
  <c r="R79" i="105" s="1"/>
  <c r="R136" i="65"/>
  <c r="R165" i="65" s="1"/>
  <c r="R70" i="105" s="1"/>
  <c r="R127" i="65"/>
  <c r="R156" i="65" s="1"/>
  <c r="R61" i="105" s="1"/>
  <c r="R101" i="105" s="1"/>
  <c r="T77" i="41"/>
  <c r="T21" i="65"/>
  <c r="V78" i="41"/>
  <c r="V22" i="65"/>
  <c r="T78" i="41"/>
  <c r="T22" i="65"/>
  <c r="P82" i="41"/>
  <c r="P26" i="65"/>
  <c r="P116" i="65" s="1"/>
  <c r="P44" i="82" s="1"/>
  <c r="AD82" i="41"/>
  <c r="AD26" i="65"/>
  <c r="AD116" i="65" s="1"/>
  <c r="AD44" i="82" s="1"/>
  <c r="Z81" i="41"/>
  <c r="Z25" i="65"/>
  <c r="Z115" i="65" s="1"/>
  <c r="Z43" i="82" s="1"/>
  <c r="M77" i="41"/>
  <c r="M21" i="65"/>
  <c r="V81" i="41"/>
  <c r="V25" i="65"/>
  <c r="V115" i="65" s="1"/>
  <c r="V43" i="82" s="1"/>
  <c r="X82" i="41"/>
  <c r="X26" i="65"/>
  <c r="X116" i="65" s="1"/>
  <c r="X44" i="82" s="1"/>
  <c r="AA78" i="41"/>
  <c r="AA22" i="65"/>
  <c r="U82" i="41"/>
  <c r="U26" i="65"/>
  <c r="U116" i="65" s="1"/>
  <c r="U44" i="82" s="1"/>
  <c r="U77" i="41"/>
  <c r="U21" i="65"/>
  <c r="O82" i="41"/>
  <c r="O26" i="65"/>
  <c r="O116" i="65" s="1"/>
  <c r="O44" i="82" s="1"/>
  <c r="W144" i="65"/>
  <c r="W173" i="65" s="1"/>
  <c r="W78" i="105" s="1"/>
  <c r="W126" i="65"/>
  <c r="W155" i="65" s="1"/>
  <c r="W60" i="105" s="1"/>
  <c r="W100" i="105" s="1"/>
  <c r="AA81" i="41"/>
  <c r="AA25" i="65"/>
  <c r="AA115" i="65" s="1"/>
  <c r="AA43" i="82" s="1"/>
  <c r="T81" i="41"/>
  <c r="T25" i="65"/>
  <c r="T115" i="65" s="1"/>
  <c r="T43" i="82" s="1"/>
  <c r="Y77" i="41"/>
  <c r="Y21" i="65"/>
  <c r="AC77" i="41"/>
  <c r="AC21" i="65"/>
  <c r="N81" i="41"/>
  <c r="N25" i="65"/>
  <c r="N115" i="65" s="1"/>
  <c r="N43" i="82" s="1"/>
  <c r="L144" i="65"/>
  <c r="L173" i="65" s="1"/>
  <c r="L78" i="105" s="1"/>
  <c r="L135" i="65"/>
  <c r="L164" i="65" s="1"/>
  <c r="L69" i="105" s="1"/>
  <c r="L126" i="65"/>
  <c r="L155" i="65" s="1"/>
  <c r="L60" i="105" s="1"/>
  <c r="L100" i="105" s="1"/>
  <c r="AA82" i="41"/>
  <c r="AA26" i="65"/>
  <c r="AA116" i="65" s="1"/>
  <c r="AA44" i="82" s="1"/>
  <c r="V82" i="41"/>
  <c r="V26" i="65"/>
  <c r="V116" i="65" s="1"/>
  <c r="V44" i="82" s="1"/>
  <c r="S77" i="41"/>
  <c r="S21" i="65"/>
  <c r="AB144" i="65"/>
  <c r="AB173" i="65" s="1"/>
  <c r="AB78" i="105" s="1"/>
  <c r="AB126" i="65"/>
  <c r="AB155" i="65" s="1"/>
  <c r="AB60" i="105" s="1"/>
  <c r="AB100" i="105" s="1"/>
  <c r="S78" i="41"/>
  <c r="S22" i="65"/>
  <c r="M82" i="41"/>
  <c r="M26" i="65"/>
  <c r="M116" i="65" s="1"/>
  <c r="M44" i="82" s="1"/>
  <c r="AB145" i="65"/>
  <c r="AB174" i="65" s="1"/>
  <c r="AB79" i="105" s="1"/>
  <c r="AB127" i="65"/>
  <c r="AB156" i="65" s="1"/>
  <c r="AB61" i="105" s="1"/>
  <c r="AB101" i="105" s="1"/>
  <c r="Y81" i="41"/>
  <c r="Y25" i="65"/>
  <c r="Y115" i="65" s="1"/>
  <c r="Y43" i="82" s="1"/>
  <c r="N77" i="41"/>
  <c r="N21" i="65"/>
  <c r="R126" i="65"/>
  <c r="R155" i="65" s="1"/>
  <c r="R60" i="105" s="1"/>
  <c r="R100" i="105" s="1"/>
  <c r="R135" i="65"/>
  <c r="R164" i="65" s="1"/>
  <c r="R69" i="105" s="1"/>
  <c r="R144" i="65"/>
  <c r="R173" i="65" s="1"/>
  <c r="R78" i="105" s="1"/>
  <c r="X77" i="41"/>
  <c r="X21" i="65"/>
  <c r="AD77" i="41"/>
  <c r="AD21" i="65"/>
  <c r="O81" i="41"/>
  <c r="O25" i="65"/>
  <c r="O115" i="65" s="1"/>
  <c r="O43" i="82" s="1"/>
  <c r="Y82" i="41"/>
  <c r="Y26" i="65"/>
  <c r="Y116" i="65" s="1"/>
  <c r="Y44" i="82" s="1"/>
  <c r="T82" i="41"/>
  <c r="T26" i="65"/>
  <c r="T116" i="65" s="1"/>
  <c r="T44" i="82" s="1"/>
  <c r="AC81" i="41"/>
  <c r="AC25" i="65"/>
  <c r="AC115" i="65" s="1"/>
  <c r="AC43" i="82" s="1"/>
  <c r="AG144" i="65"/>
  <c r="AG173" i="65" s="1"/>
  <c r="AG78" i="105" s="1"/>
  <c r="AG198" i="105" s="1"/>
  <c r="AG135" i="65"/>
  <c r="AG164" i="65" s="1"/>
  <c r="AG69" i="105" s="1"/>
  <c r="AG187" i="105" s="1"/>
  <c r="AG126" i="65"/>
  <c r="AG155" i="65" s="1"/>
  <c r="AG60" i="105" s="1"/>
  <c r="AG100" i="105" s="1"/>
  <c r="O77" i="41"/>
  <c r="O21" i="65"/>
  <c r="Z77" i="41"/>
  <c r="Z21" i="65"/>
  <c r="P81" i="41"/>
  <c r="P25" i="65"/>
  <c r="P115" i="65" s="1"/>
  <c r="P43" i="82" s="1"/>
  <c r="Y78" i="41"/>
  <c r="Y22" i="65"/>
  <c r="AD81" i="41"/>
  <c r="AD25" i="65"/>
  <c r="AD115" i="65" s="1"/>
  <c r="AD43" i="82" s="1"/>
  <c r="U78" i="41"/>
  <c r="U22" i="65"/>
  <c r="N82" i="41"/>
  <c r="N26" i="65"/>
  <c r="N116" i="65" s="1"/>
  <c r="N44" i="82" s="1"/>
  <c r="AC82" i="41"/>
  <c r="AC26" i="65"/>
  <c r="AC116" i="65" s="1"/>
  <c r="AC44" i="82" s="1"/>
  <c r="X81" i="41"/>
  <c r="X25" i="65"/>
  <c r="X115" i="65" s="1"/>
  <c r="X43" i="82" s="1"/>
  <c r="Q125" i="65"/>
  <c r="Q154" i="65" s="1"/>
  <c r="Q59" i="105" s="1"/>
  <c r="Q99" i="105" s="1"/>
  <c r="Q134" i="65"/>
  <c r="Q163" i="65" s="1"/>
  <c r="Q68" i="105" s="1"/>
  <c r="Q186" i="105" s="1"/>
  <c r="Q143" i="65"/>
  <c r="Q172" i="65" s="1"/>
  <c r="Q77" i="105" s="1"/>
  <c r="Q197" i="105" s="1"/>
  <c r="P77" i="41"/>
  <c r="P21" i="65"/>
  <c r="U81" i="41"/>
  <c r="U25" i="65"/>
  <c r="U115" i="65" s="1"/>
  <c r="U43" i="82" s="1"/>
  <c r="K143" i="65"/>
  <c r="K172" i="65" s="1"/>
  <c r="K77" i="105" s="1"/>
  <c r="K197" i="105" s="1"/>
  <c r="K134" i="65"/>
  <c r="K163" i="65" s="1"/>
  <c r="K68" i="105" s="1"/>
  <c r="K186" i="105" s="1"/>
  <c r="K125" i="65"/>
  <c r="K154" i="65" s="1"/>
  <c r="K59" i="105" s="1"/>
  <c r="K99" i="105" s="1"/>
  <c r="AA77" i="41"/>
  <c r="AA21" i="65"/>
  <c r="AF77" i="41"/>
  <c r="AF21" i="65"/>
  <c r="M81" i="41"/>
  <c r="M25" i="65"/>
  <c r="M115" i="65" s="1"/>
  <c r="M43" i="82" s="1"/>
  <c r="Z82" i="41"/>
  <c r="Z26" i="65"/>
  <c r="Z116" i="65" s="1"/>
  <c r="Z44" i="82" s="1"/>
  <c r="Z78" i="41"/>
  <c r="Z22" i="65"/>
  <c r="AG125" i="65"/>
  <c r="AG154" i="65" s="1"/>
  <c r="AG59" i="105" s="1"/>
  <c r="AG99" i="105" s="1"/>
  <c r="AG134" i="65"/>
  <c r="AG163" i="65" s="1"/>
  <c r="AG68" i="105" s="1"/>
  <c r="AG186" i="105" s="1"/>
  <c r="AG143" i="65"/>
  <c r="AG172" i="65" s="1"/>
  <c r="AG77" i="105" s="1"/>
  <c r="AG197" i="105" s="1"/>
  <c r="S82" i="41"/>
  <c r="S26" i="65"/>
  <c r="S116" i="65" s="1"/>
  <c r="S44" i="82" s="1"/>
  <c r="V77" i="41"/>
  <c r="V21" i="65"/>
  <c r="AE81" i="41"/>
  <c r="AE25" i="65"/>
  <c r="AE115" i="65" s="1"/>
  <c r="AE43" i="82" s="1"/>
  <c r="AF81" i="41"/>
  <c r="AF25" i="65"/>
  <c r="AF115" i="65" s="1"/>
  <c r="AF43" i="82" s="1"/>
  <c r="L145" i="65"/>
  <c r="L174" i="65" s="1"/>
  <c r="L79" i="105" s="1"/>
  <c r="L127" i="65"/>
  <c r="L156" i="65" s="1"/>
  <c r="L61" i="105" s="1"/>
  <c r="L101" i="105" s="1"/>
  <c r="L136" i="65"/>
  <c r="L165" i="65" s="1"/>
  <c r="L70" i="105" s="1"/>
  <c r="AE82" i="41"/>
  <c r="AE26" i="65"/>
  <c r="AE116" i="65" s="1"/>
  <c r="AE44" i="82" s="1"/>
  <c r="AF82" i="41"/>
  <c r="AF26" i="65"/>
  <c r="AF116" i="65" s="1"/>
  <c r="AF44" i="82" s="1"/>
  <c r="J161" i="74"/>
  <c r="J23" i="41" s="1"/>
  <c r="J43" i="41" s="1"/>
  <c r="H223" i="71" a="1"/>
  <c r="H223" i="71" s="1"/>
  <c r="J52" i="55" s="1"/>
  <c r="S76" i="41"/>
  <c r="L161" i="74"/>
  <c r="L23" i="41" s="1"/>
  <c r="AE76" i="41"/>
  <c r="P76" i="41"/>
  <c r="J76" i="41"/>
  <c r="V76" i="41"/>
  <c r="R76" i="41"/>
  <c r="Y76" i="41"/>
  <c r="J114" i="65"/>
  <c r="J80" i="41"/>
  <c r="A4" i="83"/>
  <c r="J50" i="55"/>
  <c r="J82" i="41"/>
  <c r="J116" i="65"/>
  <c r="W78" i="41"/>
  <c r="V161" i="74"/>
  <c r="V23" i="41" s="1"/>
  <c r="AL43" i="41" s="1"/>
  <c r="AL23" i="65" s="1"/>
  <c r="Y161" i="74"/>
  <c r="Y23" i="41" s="1"/>
  <c r="AO43" i="41" s="1"/>
  <c r="AO23" i="65" s="1"/>
  <c r="Q161" i="74"/>
  <c r="Q23" i="41" s="1"/>
  <c r="AG43" i="41" s="1"/>
  <c r="AG23" i="65" s="1"/>
  <c r="P161" i="74"/>
  <c r="P23" i="41" s="1"/>
  <c r="AB81" i="41"/>
  <c r="AB76" i="41"/>
  <c r="L76" i="41"/>
  <c r="AA76" i="41"/>
  <c r="W76" i="41"/>
  <c r="X44" i="41"/>
  <c r="Y44" i="41"/>
  <c r="AA44" i="41"/>
  <c r="Z44" i="41"/>
  <c r="W44" i="41"/>
  <c r="W24" i="65" s="1"/>
  <c r="W114" i="65" s="1"/>
  <c r="W42" i="82" s="1"/>
  <c r="AB77" i="41"/>
  <c r="W81" i="41"/>
  <c r="Q80" i="41"/>
  <c r="L77" i="41"/>
  <c r="N44" i="41"/>
  <c r="L44" i="41"/>
  <c r="L24" i="65" s="1"/>
  <c r="L114" i="65" s="1"/>
  <c r="L42" i="82" s="1"/>
  <c r="O44" i="41"/>
  <c r="M44" i="41"/>
  <c r="P44" i="41"/>
  <c r="AC76" i="41"/>
  <c r="AF76" i="41"/>
  <c r="O76" i="41"/>
  <c r="R81" i="41"/>
  <c r="T76" i="41"/>
  <c r="Z76" i="41"/>
  <c r="K80" i="41"/>
  <c r="W77" i="41"/>
  <c r="S161" i="74"/>
  <c r="S23" i="41" s="1"/>
  <c r="AI43" i="41" s="1"/>
  <c r="AI23" i="65" s="1"/>
  <c r="R161" i="74"/>
  <c r="R23" i="41" s="1"/>
  <c r="AH43" i="41" s="1"/>
  <c r="AH23" i="65" s="1"/>
  <c r="U161" i="74"/>
  <c r="U23" i="41" s="1"/>
  <c r="AK43" i="41" s="1"/>
  <c r="AK23" i="65" s="1"/>
  <c r="R82" i="41"/>
  <c r="R78" i="41"/>
  <c r="H291" i="73" a="1"/>
  <c r="H291" i="73" s="1"/>
  <c r="H295" i="73" s="1"/>
  <c r="AD76" i="41"/>
  <c r="M76" i="41"/>
  <c r="N76" i="41"/>
  <c r="AC44" i="41"/>
  <c r="AD44" i="41"/>
  <c r="AB44" i="41"/>
  <c r="AB24" i="65" s="1"/>
  <c r="AB114" i="65" s="1"/>
  <c r="AB42" i="82" s="1"/>
  <c r="AF44" i="41"/>
  <c r="AE44" i="41"/>
  <c r="U76" i="41"/>
  <c r="X76" i="41"/>
  <c r="J144" i="65"/>
  <c r="J173" i="65" s="1"/>
  <c r="J78" i="105" s="1"/>
  <c r="J198" i="105" s="1"/>
  <c r="J126" i="65"/>
  <c r="J155" i="65" s="1"/>
  <c r="J135" i="65"/>
  <c r="J164" i="65" s="1"/>
  <c r="J69" i="105" s="1"/>
  <c r="J187" i="105" s="1"/>
  <c r="J43" i="82"/>
  <c r="L81" i="41"/>
  <c r="W82" i="41"/>
  <c r="AG80" i="41"/>
  <c r="X161" i="74"/>
  <c r="X23" i="41" s="1"/>
  <c r="AN43" i="41" s="1"/>
  <c r="AN23" i="65" s="1"/>
  <c r="O161" i="74"/>
  <c r="O23" i="41" s="1"/>
  <c r="N161" i="74"/>
  <c r="N23" i="41" s="1"/>
  <c r="R77" i="41"/>
  <c r="H254" i="72" a="1"/>
  <c r="H254" i="72" s="1"/>
  <c r="U44" i="41"/>
  <c r="V44" i="41"/>
  <c r="S44" i="41"/>
  <c r="R44" i="41"/>
  <c r="R24" i="65" s="1"/>
  <c r="R114" i="65" s="1"/>
  <c r="R42" i="82" s="1"/>
  <c r="T44" i="41"/>
  <c r="W161" i="74"/>
  <c r="W23" i="41" s="1"/>
  <c r="AM43" i="41" s="1"/>
  <c r="AM23" i="65" s="1"/>
  <c r="K161" i="74"/>
  <c r="M161" i="74"/>
  <c r="M23" i="41" s="1"/>
  <c r="Q43" i="41" s="1"/>
  <c r="Q23" i="65" s="1"/>
  <c r="T161" i="74"/>
  <c r="T23" i="41" s="1"/>
  <c r="AJ43" i="41" s="1"/>
  <c r="AJ23" i="65" s="1"/>
  <c r="L82" i="41"/>
  <c r="AB82" i="41"/>
  <c r="W120" i="105" l="1"/>
  <c r="W198" i="105"/>
  <c r="W121" i="105"/>
  <c r="W199" i="105"/>
  <c r="L111" i="105"/>
  <c r="L188" i="105"/>
  <c r="AB120" i="105"/>
  <c r="AB198" i="105"/>
  <c r="L110" i="105"/>
  <c r="L187" i="105"/>
  <c r="L121" i="105"/>
  <c r="L199" i="105"/>
  <c r="L120" i="105"/>
  <c r="L198" i="105"/>
  <c r="R111" i="105"/>
  <c r="R188" i="105"/>
  <c r="R120" i="105"/>
  <c r="R198" i="105"/>
  <c r="AB121" i="105"/>
  <c r="AB199" i="105"/>
  <c r="R121" i="105"/>
  <c r="R199" i="105"/>
  <c r="R110" i="105"/>
  <c r="R187" i="105"/>
  <c r="Q119" i="105"/>
  <c r="AG109" i="105"/>
  <c r="Q109" i="105"/>
  <c r="AG119" i="105"/>
  <c r="K109" i="105"/>
  <c r="AG110" i="105"/>
  <c r="K119" i="105"/>
  <c r="AG120" i="105"/>
  <c r="R143" i="65"/>
  <c r="R172" i="65" s="1"/>
  <c r="R77" i="105" s="1"/>
  <c r="R125" i="65"/>
  <c r="R154" i="65" s="1"/>
  <c r="R59" i="105" s="1"/>
  <c r="R99" i="105" s="1"/>
  <c r="R134" i="65"/>
  <c r="R163" i="65" s="1"/>
  <c r="R68" i="105" s="1"/>
  <c r="AA80" i="41"/>
  <c r="AA24" i="65"/>
  <c r="AA114" i="65" s="1"/>
  <c r="AA42" i="82" s="1"/>
  <c r="AC127" i="65"/>
  <c r="AC156" i="65" s="1"/>
  <c r="AC61" i="105" s="1"/>
  <c r="AC101" i="105" s="1"/>
  <c r="AC145" i="65"/>
  <c r="AC174" i="65" s="1"/>
  <c r="AC79" i="105" s="1"/>
  <c r="AC199" i="105" s="1"/>
  <c r="V145" i="65"/>
  <c r="V174" i="65" s="1"/>
  <c r="V79" i="105" s="1"/>
  <c r="V199" i="105" s="1"/>
  <c r="V136" i="65"/>
  <c r="V165" i="65" s="1"/>
  <c r="V70" i="105" s="1"/>
  <c r="V188" i="105" s="1"/>
  <c r="V127" i="65"/>
  <c r="V156" i="65" s="1"/>
  <c r="V61" i="105" s="1"/>
  <c r="V101" i="105" s="1"/>
  <c r="L143" i="65"/>
  <c r="L172" i="65" s="1"/>
  <c r="L77" i="105" s="1"/>
  <c r="L125" i="65"/>
  <c r="L154" i="65" s="1"/>
  <c r="L59" i="105" s="1"/>
  <c r="L99" i="105" s="1"/>
  <c r="L134" i="65"/>
  <c r="L163" i="65" s="1"/>
  <c r="L68" i="105" s="1"/>
  <c r="Y80" i="41"/>
  <c r="Y24" i="65"/>
  <c r="Y114" i="65" s="1"/>
  <c r="Y42" i="82" s="1"/>
  <c r="AE144" i="65"/>
  <c r="AE173" i="65" s="1"/>
  <c r="AE78" i="105" s="1"/>
  <c r="AE198" i="105" s="1"/>
  <c r="AE126" i="65"/>
  <c r="AE155" i="65" s="1"/>
  <c r="AE60" i="105" s="1"/>
  <c r="AE100" i="105" s="1"/>
  <c r="S127" i="65"/>
  <c r="S156" i="65" s="1"/>
  <c r="S61" i="105" s="1"/>
  <c r="S101" i="105" s="1"/>
  <c r="S136" i="65"/>
  <c r="S165" i="65" s="1"/>
  <c r="S70" i="105" s="1"/>
  <c r="S188" i="105" s="1"/>
  <c r="S145" i="65"/>
  <c r="S174" i="65" s="1"/>
  <c r="S79" i="105" s="1"/>
  <c r="S199" i="105" s="1"/>
  <c r="T145" i="65"/>
  <c r="T174" i="65" s="1"/>
  <c r="T79" i="105" s="1"/>
  <c r="T199" i="105" s="1"/>
  <c r="T127" i="65"/>
  <c r="T156" i="65" s="1"/>
  <c r="T61" i="105" s="1"/>
  <c r="T101" i="105" s="1"/>
  <c r="T136" i="65"/>
  <c r="T165" i="65" s="1"/>
  <c r="T70" i="105" s="1"/>
  <c r="T188" i="105" s="1"/>
  <c r="O144" i="65"/>
  <c r="O173" i="65" s="1"/>
  <c r="O78" i="105" s="1"/>
  <c r="O198" i="105" s="1"/>
  <c r="O126" i="65"/>
  <c r="O155" i="65" s="1"/>
  <c r="O60" i="105" s="1"/>
  <c r="O100" i="105" s="1"/>
  <c r="O135" i="65"/>
  <c r="O164" i="65" s="1"/>
  <c r="O69" i="105" s="1"/>
  <c r="O187" i="105" s="1"/>
  <c r="T144" i="65"/>
  <c r="T173" i="65" s="1"/>
  <c r="T78" i="105" s="1"/>
  <c r="T198" i="105" s="1"/>
  <c r="T126" i="65"/>
  <c r="T155" i="65" s="1"/>
  <c r="T60" i="105" s="1"/>
  <c r="T100" i="105" s="1"/>
  <c r="T135" i="65"/>
  <c r="T164" i="65" s="1"/>
  <c r="T69" i="105" s="1"/>
  <c r="T187" i="105" s="1"/>
  <c r="V144" i="65"/>
  <c r="V173" i="65" s="1"/>
  <c r="V78" i="105" s="1"/>
  <c r="V198" i="105" s="1"/>
  <c r="V135" i="65"/>
  <c r="V164" i="65" s="1"/>
  <c r="V69" i="105" s="1"/>
  <c r="V187" i="105" s="1"/>
  <c r="V126" i="65"/>
  <c r="V155" i="65" s="1"/>
  <c r="V60" i="105" s="1"/>
  <c r="V100" i="105" s="1"/>
  <c r="Z126" i="65"/>
  <c r="Z155" i="65" s="1"/>
  <c r="Z60" i="105" s="1"/>
  <c r="Z100" i="105" s="1"/>
  <c r="Z144" i="65"/>
  <c r="Z173" i="65" s="1"/>
  <c r="Z78" i="105" s="1"/>
  <c r="Z198" i="105" s="1"/>
  <c r="P145" i="65"/>
  <c r="P174" i="65" s="1"/>
  <c r="P79" i="105" s="1"/>
  <c r="P199" i="105" s="1"/>
  <c r="P136" i="65"/>
  <c r="P165" i="65" s="1"/>
  <c r="P70" i="105" s="1"/>
  <c r="P188" i="105" s="1"/>
  <c r="P127" i="65"/>
  <c r="P156" i="65" s="1"/>
  <c r="P61" i="105" s="1"/>
  <c r="P101" i="105" s="1"/>
  <c r="V80" i="41"/>
  <c r="V24" i="65"/>
  <c r="V114" i="65" s="1"/>
  <c r="V42" i="82" s="1"/>
  <c r="AE80" i="41"/>
  <c r="AE24" i="65"/>
  <c r="AE114" i="65" s="1"/>
  <c r="AE42" i="82" s="1"/>
  <c r="AC80" i="41"/>
  <c r="AC24" i="65"/>
  <c r="AC114" i="65" s="1"/>
  <c r="AC42" i="82" s="1"/>
  <c r="P80" i="41"/>
  <c r="P24" i="65"/>
  <c r="P114" i="65" s="1"/>
  <c r="P42" i="82" s="1"/>
  <c r="N80" i="41"/>
  <c r="N24" i="65"/>
  <c r="N114" i="65" s="1"/>
  <c r="N42" i="82" s="1"/>
  <c r="W143" i="65"/>
  <c r="W172" i="65" s="1"/>
  <c r="W77" i="105" s="1"/>
  <c r="W125" i="65"/>
  <c r="W154" i="65" s="1"/>
  <c r="W59" i="105" s="1"/>
  <c r="W99" i="105" s="1"/>
  <c r="X80" i="41"/>
  <c r="X24" i="65"/>
  <c r="X114" i="65" s="1"/>
  <c r="X42" i="82" s="1"/>
  <c r="AE165" i="65"/>
  <c r="AE70" i="105" s="1"/>
  <c r="AE127" i="65"/>
  <c r="AE156" i="65" s="1"/>
  <c r="AE61" i="105" s="1"/>
  <c r="AE101" i="105" s="1"/>
  <c r="AE145" i="65"/>
  <c r="AE174" i="65" s="1"/>
  <c r="AE79" i="105" s="1"/>
  <c r="AE199" i="105" s="1"/>
  <c r="M144" i="65"/>
  <c r="M173" i="65" s="1"/>
  <c r="M78" i="105" s="1"/>
  <c r="M198" i="105" s="1"/>
  <c r="M126" i="65"/>
  <c r="M155" i="65" s="1"/>
  <c r="M60" i="105" s="1"/>
  <c r="M100" i="105" s="1"/>
  <c r="M135" i="65"/>
  <c r="M164" i="65" s="1"/>
  <c r="M69" i="105" s="1"/>
  <c r="M187" i="105" s="1"/>
  <c r="X144" i="65"/>
  <c r="X173" i="65" s="1"/>
  <c r="X78" i="105" s="1"/>
  <c r="X198" i="105" s="1"/>
  <c r="X126" i="65"/>
  <c r="X155" i="65" s="1"/>
  <c r="X60" i="105" s="1"/>
  <c r="X100" i="105" s="1"/>
  <c r="N145" i="65"/>
  <c r="N174" i="65" s="1"/>
  <c r="N79" i="105" s="1"/>
  <c r="N199" i="105" s="1"/>
  <c r="N127" i="65"/>
  <c r="N156" i="65" s="1"/>
  <c r="N61" i="105" s="1"/>
  <c r="N101" i="105" s="1"/>
  <c r="N136" i="65"/>
  <c r="N165" i="65" s="1"/>
  <c r="N70" i="105" s="1"/>
  <c r="N188" i="105" s="1"/>
  <c r="AD126" i="65"/>
  <c r="AD155" i="65" s="1"/>
  <c r="AD60" i="105" s="1"/>
  <c r="AD100" i="105" s="1"/>
  <c r="AD144" i="65"/>
  <c r="AD173" i="65" s="1"/>
  <c r="AD78" i="105" s="1"/>
  <c r="AD198" i="105" s="1"/>
  <c r="P144" i="65"/>
  <c r="P173" i="65" s="1"/>
  <c r="P78" i="105" s="1"/>
  <c r="P198" i="105" s="1"/>
  <c r="P126" i="65"/>
  <c r="P155" i="65" s="1"/>
  <c r="P60" i="105" s="1"/>
  <c r="P100" i="105" s="1"/>
  <c r="P135" i="65"/>
  <c r="P164" i="65" s="1"/>
  <c r="P69" i="105" s="1"/>
  <c r="P187" i="105" s="1"/>
  <c r="AA127" i="65"/>
  <c r="AA156" i="65" s="1"/>
  <c r="AA61" i="105" s="1"/>
  <c r="AA101" i="105" s="1"/>
  <c r="AA145" i="65"/>
  <c r="AA174" i="65" s="1"/>
  <c r="AA79" i="105" s="1"/>
  <c r="AA199" i="105" s="1"/>
  <c r="S144" i="65"/>
  <c r="S173" i="65" s="1"/>
  <c r="S78" i="105" s="1"/>
  <c r="S198" i="105" s="1"/>
  <c r="S126" i="65"/>
  <c r="S155" i="65" s="1"/>
  <c r="S60" i="105" s="1"/>
  <c r="S100" i="105" s="1"/>
  <c r="S135" i="65"/>
  <c r="S164" i="65" s="1"/>
  <c r="S69" i="105" s="1"/>
  <c r="S187" i="105" s="1"/>
  <c r="AB143" i="65"/>
  <c r="AB172" i="65" s="1"/>
  <c r="AB77" i="105" s="1"/>
  <c r="AB125" i="65"/>
  <c r="AB154" i="65" s="1"/>
  <c r="AB59" i="105" s="1"/>
  <c r="AB99" i="105" s="1"/>
  <c r="O80" i="41"/>
  <c r="O24" i="65"/>
  <c r="O114" i="65" s="1"/>
  <c r="O42" i="82" s="1"/>
  <c r="AF145" i="65"/>
  <c r="AF174" i="65" s="1"/>
  <c r="AF79" i="105" s="1"/>
  <c r="AF199" i="105" s="1"/>
  <c r="AF127" i="65"/>
  <c r="AF156" i="65" s="1"/>
  <c r="AF61" i="105" s="1"/>
  <c r="AF101" i="105" s="1"/>
  <c r="Z145" i="65"/>
  <c r="Z174" i="65" s="1"/>
  <c r="Z79" i="105" s="1"/>
  <c r="Z199" i="105" s="1"/>
  <c r="Z127" i="65"/>
  <c r="Z156" i="65" s="1"/>
  <c r="Z61" i="105" s="1"/>
  <c r="Z101" i="105" s="1"/>
  <c r="Y144" i="65"/>
  <c r="Y173" i="65" s="1"/>
  <c r="Y78" i="105" s="1"/>
  <c r="Y198" i="105" s="1"/>
  <c r="Y126" i="65"/>
  <c r="Y155" i="65" s="1"/>
  <c r="Y60" i="105" s="1"/>
  <c r="Y100" i="105" s="1"/>
  <c r="M127" i="65"/>
  <c r="M156" i="65" s="1"/>
  <c r="M61" i="105" s="1"/>
  <c r="M101" i="105" s="1"/>
  <c r="M145" i="65"/>
  <c r="M174" i="65" s="1"/>
  <c r="M79" i="105" s="1"/>
  <c r="M199" i="105" s="1"/>
  <c r="M136" i="65"/>
  <c r="M165" i="65" s="1"/>
  <c r="M70" i="105" s="1"/>
  <c r="M188" i="105" s="1"/>
  <c r="S80" i="41"/>
  <c r="S24" i="65"/>
  <c r="S114" i="65" s="1"/>
  <c r="S42" i="82" s="1"/>
  <c r="AD80" i="41"/>
  <c r="AD24" i="65"/>
  <c r="AD114" i="65" s="1"/>
  <c r="AD42" i="82" s="1"/>
  <c r="T80" i="41"/>
  <c r="T24" i="65"/>
  <c r="T114" i="65" s="1"/>
  <c r="T42" i="82" s="1"/>
  <c r="U80" i="41"/>
  <c r="U24" i="65"/>
  <c r="U114" i="65" s="1"/>
  <c r="U42" i="82" s="1"/>
  <c r="AF80" i="41"/>
  <c r="AF24" i="65"/>
  <c r="AF114" i="65" s="1"/>
  <c r="AF42" i="82" s="1"/>
  <c r="M80" i="41"/>
  <c r="M24" i="65"/>
  <c r="M114" i="65" s="1"/>
  <c r="M42" i="82" s="1"/>
  <c r="Z80" i="41"/>
  <c r="Z24" i="65"/>
  <c r="Z114" i="65" s="1"/>
  <c r="Z42" i="82" s="1"/>
  <c r="J79" i="41"/>
  <c r="J83" i="41" s="1"/>
  <c r="J23" i="65"/>
  <c r="AF144" i="65"/>
  <c r="AF173" i="65" s="1"/>
  <c r="AF78" i="105" s="1"/>
  <c r="AF198" i="105" s="1"/>
  <c r="AF126" i="65"/>
  <c r="AF155" i="65" s="1"/>
  <c r="AF60" i="105" s="1"/>
  <c r="AF100" i="105" s="1"/>
  <c r="U144" i="65"/>
  <c r="U173" i="65" s="1"/>
  <c r="U78" i="105" s="1"/>
  <c r="U198" i="105" s="1"/>
  <c r="U135" i="65"/>
  <c r="U164" i="65" s="1"/>
  <c r="U69" i="105" s="1"/>
  <c r="U187" i="105" s="1"/>
  <c r="U126" i="65"/>
  <c r="U155" i="65" s="1"/>
  <c r="U60" i="105" s="1"/>
  <c r="U100" i="105" s="1"/>
  <c r="AC144" i="65"/>
  <c r="AC173" i="65" s="1"/>
  <c r="AC78" i="105" s="1"/>
  <c r="AC198" i="105" s="1"/>
  <c r="AC126" i="65"/>
  <c r="AC155" i="65" s="1"/>
  <c r="AC60" i="105" s="1"/>
  <c r="AC100" i="105" s="1"/>
  <c r="Y127" i="65"/>
  <c r="Y156" i="65" s="1"/>
  <c r="Y61" i="105" s="1"/>
  <c r="Y101" i="105" s="1"/>
  <c r="Y145" i="65"/>
  <c r="Y174" i="65" s="1"/>
  <c r="Y79" i="105" s="1"/>
  <c r="Y199" i="105" s="1"/>
  <c r="N126" i="65"/>
  <c r="N155" i="65" s="1"/>
  <c r="N60" i="105" s="1"/>
  <c r="N100" i="105" s="1"/>
  <c r="N135" i="65"/>
  <c r="N164" i="65" s="1"/>
  <c r="N69" i="105" s="1"/>
  <c r="N187" i="105" s="1"/>
  <c r="N144" i="65"/>
  <c r="N173" i="65" s="1"/>
  <c r="N78" i="105" s="1"/>
  <c r="N198" i="105" s="1"/>
  <c r="AA144" i="65"/>
  <c r="AA173" i="65" s="1"/>
  <c r="AA78" i="105" s="1"/>
  <c r="AA198" i="105" s="1"/>
  <c r="AA126" i="65"/>
  <c r="AA155" i="65" s="1"/>
  <c r="AA60" i="105" s="1"/>
  <c r="AA100" i="105" s="1"/>
  <c r="O136" i="65"/>
  <c r="O165" i="65" s="1"/>
  <c r="O70" i="105" s="1"/>
  <c r="O188" i="105" s="1"/>
  <c r="O145" i="65"/>
  <c r="O174" i="65" s="1"/>
  <c r="O79" i="105" s="1"/>
  <c r="O199" i="105" s="1"/>
  <c r="O127" i="65"/>
  <c r="O156" i="65" s="1"/>
  <c r="O61" i="105" s="1"/>
  <c r="O101" i="105" s="1"/>
  <c r="U127" i="65"/>
  <c r="U156" i="65" s="1"/>
  <c r="U61" i="105" s="1"/>
  <c r="U101" i="105" s="1"/>
  <c r="U136" i="65"/>
  <c r="U165" i="65" s="1"/>
  <c r="U70" i="105" s="1"/>
  <c r="U188" i="105" s="1"/>
  <c r="U145" i="65"/>
  <c r="U174" i="65" s="1"/>
  <c r="U79" i="105" s="1"/>
  <c r="U199" i="105" s="1"/>
  <c r="X145" i="65"/>
  <c r="X174" i="65" s="1"/>
  <c r="X79" i="105" s="1"/>
  <c r="X199" i="105" s="1"/>
  <c r="X127" i="65"/>
  <c r="X156" i="65" s="1"/>
  <c r="X61" i="105" s="1"/>
  <c r="X101" i="105" s="1"/>
  <c r="AD145" i="65"/>
  <c r="AD174" i="65" s="1"/>
  <c r="AD79" i="105" s="1"/>
  <c r="AD199" i="105" s="1"/>
  <c r="AD127" i="65"/>
  <c r="AD156" i="65" s="1"/>
  <c r="AD61" i="105" s="1"/>
  <c r="AD101" i="105" s="1"/>
  <c r="J60" i="105"/>
  <c r="J100" i="105" s="1"/>
  <c r="H78" i="41"/>
  <c r="A4" i="71"/>
  <c r="H77" i="41"/>
  <c r="S43" i="41"/>
  <c r="S23" i="65" s="1"/>
  <c r="U43" i="41"/>
  <c r="U23" i="65" s="1"/>
  <c r="R43" i="41"/>
  <c r="R23" i="65" s="1"/>
  <c r="V43" i="41"/>
  <c r="V23" i="65" s="1"/>
  <c r="T43" i="41"/>
  <c r="T23" i="65" s="1"/>
  <c r="AJ79" i="41"/>
  <c r="AJ83" i="41" s="1"/>
  <c r="AN79" i="41"/>
  <c r="AN83" i="41" s="1"/>
  <c r="AO79" i="41"/>
  <c r="AO83" i="41" s="1"/>
  <c r="K23" i="41"/>
  <c r="K43" i="41" s="1"/>
  <c r="K23" i="65" s="1"/>
  <c r="H165" i="74" a="1"/>
  <c r="H165" i="74" s="1"/>
  <c r="AM79" i="41"/>
  <c r="AM83" i="41" s="1"/>
  <c r="Q79" i="41"/>
  <c r="Q83" i="41" s="1"/>
  <c r="R80" i="41"/>
  <c r="J120" i="105"/>
  <c r="AB80" i="41"/>
  <c r="AK79" i="41"/>
  <c r="AK83" i="41" s="1"/>
  <c r="AL79" i="41"/>
  <c r="AL83" i="41" s="1"/>
  <c r="A4" i="73"/>
  <c r="J53" i="55"/>
  <c r="AH79" i="41"/>
  <c r="AH83" i="41" s="1"/>
  <c r="L80" i="41"/>
  <c r="W80" i="41"/>
  <c r="AD43" i="41"/>
  <c r="AD23" i="65" s="1"/>
  <c r="AE43" i="41"/>
  <c r="AE23" i="65" s="1"/>
  <c r="AB43" i="41"/>
  <c r="AB23" i="65" s="1"/>
  <c r="AF43" i="41"/>
  <c r="AF23" i="65" s="1"/>
  <c r="AC43" i="41"/>
  <c r="AC23" i="65" s="1"/>
  <c r="J127" i="65"/>
  <c r="J156" i="65" s="1"/>
  <c r="J44" i="82"/>
  <c r="J145" i="65"/>
  <c r="J174" i="65" s="1"/>
  <c r="J79" i="105" s="1"/>
  <c r="J199" i="105" s="1"/>
  <c r="J136" i="65"/>
  <c r="J165" i="65" s="1"/>
  <c r="J70" i="105" s="1"/>
  <c r="J188" i="105" s="1"/>
  <c r="M43" i="41"/>
  <c r="M23" i="65" s="1"/>
  <c r="L43" i="41"/>
  <c r="L23" i="65" s="1"/>
  <c r="N43" i="41"/>
  <c r="N23" i="65" s="1"/>
  <c r="P43" i="41"/>
  <c r="P23" i="65" s="1"/>
  <c r="O43" i="41"/>
  <c r="O23" i="65" s="1"/>
  <c r="A4" i="72"/>
  <c r="J54" i="55"/>
  <c r="W43" i="41"/>
  <c r="W23" i="65" s="1"/>
  <c r="AA43" i="41"/>
  <c r="AA23" i="65" s="1"/>
  <c r="Y43" i="41"/>
  <c r="Y23" i="65" s="1"/>
  <c r="X43" i="41"/>
  <c r="X23" i="65" s="1"/>
  <c r="Z43" i="41"/>
  <c r="Z23" i="65" s="1"/>
  <c r="J110" i="105"/>
  <c r="AI79" i="41"/>
  <c r="AI83" i="41" s="1"/>
  <c r="H81" i="41"/>
  <c r="AG79" i="41"/>
  <c r="AG83" i="41" s="1"/>
  <c r="H82" i="41"/>
  <c r="J125" i="65"/>
  <c r="J154" i="65" s="1"/>
  <c r="J143" i="65"/>
  <c r="J172" i="65" s="1"/>
  <c r="J77" i="105" s="1"/>
  <c r="J197" i="105" s="1"/>
  <c r="J42" i="82"/>
  <c r="J134" i="65"/>
  <c r="J163" i="65" s="1"/>
  <c r="J68" i="105" s="1"/>
  <c r="J186" i="105" s="1"/>
  <c r="H76" i="41"/>
  <c r="W119" i="105" l="1"/>
  <c r="W197" i="105"/>
  <c r="L109" i="105"/>
  <c r="L186" i="105"/>
  <c r="L119" i="105"/>
  <c r="L197" i="105"/>
  <c r="R109" i="105"/>
  <c r="R186" i="105"/>
  <c r="AB119" i="105"/>
  <c r="AB197" i="105"/>
  <c r="R119" i="105"/>
  <c r="R197" i="105"/>
  <c r="AC223" i="41" a="1"/>
  <c r="AC223" i="41" s="1"/>
  <c r="U223" i="41" a="1"/>
  <c r="U223" i="41" s="1"/>
  <c r="AO223" i="41" a="1"/>
  <c r="AO223" i="41" s="1"/>
  <c r="AO225" i="41" s="1"/>
  <c r="AA223" i="41" a="1"/>
  <c r="AA223" i="41" s="1"/>
  <c r="AF223" i="41" a="1"/>
  <c r="AF223" i="41" s="1"/>
  <c r="T223" i="41" a="1"/>
  <c r="T223" i="41" s="1"/>
  <c r="N223" i="41" a="1"/>
  <c r="N223" i="41" s="1"/>
  <c r="AE223" i="41" a="1"/>
  <c r="AE223" i="41" s="1"/>
  <c r="Q223" i="41" a="1"/>
  <c r="Q223" i="41" s="1"/>
  <c r="Q225" i="41" s="1"/>
  <c r="R223" i="41" a="1"/>
  <c r="R223" i="41" s="1"/>
  <c r="R225" i="41" s="1"/>
  <c r="K223" i="41" a="1"/>
  <c r="K223" i="41" s="1"/>
  <c r="K225" i="41" s="1"/>
  <c r="X223" i="41" a="1"/>
  <c r="X223" i="41" s="1"/>
  <c r="AG223" i="41" a="1"/>
  <c r="AG223" i="41" s="1"/>
  <c r="AG225" i="41" s="1"/>
  <c r="AM223" i="41" a="1"/>
  <c r="AM223" i="41" s="1"/>
  <c r="AM225" i="41" s="1"/>
  <c r="Y223" i="41" a="1"/>
  <c r="Y223" i="41" s="1"/>
  <c r="AD223" i="41" a="1"/>
  <c r="AD223" i="41" s="1"/>
  <c r="S223" i="41" a="1"/>
  <c r="S223" i="41" s="1"/>
  <c r="O223" i="41" a="1"/>
  <c r="O223" i="41" s="1"/>
  <c r="AI223" i="41" a="1"/>
  <c r="AI223" i="41" s="1"/>
  <c r="AI225" i="41" s="1"/>
  <c r="AB223" i="41" a="1"/>
  <c r="AB223" i="41" s="1"/>
  <c r="AB225" i="41" s="1"/>
  <c r="W223" i="41" a="1"/>
  <c r="W223" i="41" s="1"/>
  <c r="W225" i="41" s="1"/>
  <c r="AK223" i="41" a="1"/>
  <c r="AK223" i="41" s="1"/>
  <c r="AK225" i="41" s="1"/>
  <c r="J223" i="41" a="1"/>
  <c r="J223" i="41" s="1"/>
  <c r="L223" i="41" a="1"/>
  <c r="L223" i="41" s="1"/>
  <c r="L225" i="41" s="1"/>
  <c r="P223" i="41" a="1"/>
  <c r="P223" i="41" s="1"/>
  <c r="Z223" i="41" a="1"/>
  <c r="Z223" i="41" s="1"/>
  <c r="M223" i="41" a="1"/>
  <c r="M223" i="41" s="1"/>
  <c r="V223" i="41" a="1"/>
  <c r="V223" i="41" s="1"/>
  <c r="AL223" i="41" a="1"/>
  <c r="AL223" i="41" s="1"/>
  <c r="AL225" i="41" s="1"/>
  <c r="AJ223" i="41" a="1"/>
  <c r="AJ223" i="41" s="1"/>
  <c r="AJ225" i="41" s="1"/>
  <c r="AH223" i="41" a="1"/>
  <c r="AH223" i="41" s="1"/>
  <c r="AH225" i="41" s="1"/>
  <c r="AN223" i="41" a="1"/>
  <c r="AN223" i="41" s="1"/>
  <c r="AN225" i="41" s="1"/>
  <c r="AE188" i="105"/>
  <c r="AE189" i="105" s="1"/>
  <c r="AE111" i="105"/>
  <c r="AE112" i="105" s="1"/>
  <c r="AC120" i="105"/>
  <c r="Z121" i="105"/>
  <c r="P110" i="105"/>
  <c r="M120" i="105"/>
  <c r="P121" i="105"/>
  <c r="V110" i="105"/>
  <c r="T120" i="105"/>
  <c r="T111" i="105"/>
  <c r="S111" i="105"/>
  <c r="AC121" i="105"/>
  <c r="AD121" i="105"/>
  <c r="O111" i="105"/>
  <c r="N110" i="105"/>
  <c r="U120" i="105"/>
  <c r="M121" i="105"/>
  <c r="S110" i="105"/>
  <c r="AD120" i="105"/>
  <c r="O120" i="105"/>
  <c r="AE120" i="105"/>
  <c r="V121" i="105"/>
  <c r="X121" i="105"/>
  <c r="S120" i="105"/>
  <c r="N111" i="105"/>
  <c r="X120" i="105"/>
  <c r="AE121" i="105"/>
  <c r="Z120" i="105"/>
  <c r="V120" i="105"/>
  <c r="O110" i="105"/>
  <c r="U111" i="105"/>
  <c r="N121" i="105"/>
  <c r="P111" i="105"/>
  <c r="S121" i="105"/>
  <c r="AA120" i="105"/>
  <c r="Y121" i="105"/>
  <c r="AF120" i="105"/>
  <c r="U121" i="105"/>
  <c r="O121" i="105"/>
  <c r="N120" i="105"/>
  <c r="U110" i="105"/>
  <c r="M111" i="105"/>
  <c r="Y120" i="105"/>
  <c r="AF121" i="105"/>
  <c r="AA121" i="105"/>
  <c r="P120" i="105"/>
  <c r="M110" i="105"/>
  <c r="T110" i="105"/>
  <c r="T121" i="105"/>
  <c r="V111" i="105"/>
  <c r="Z143" i="65"/>
  <c r="Z172" i="65" s="1"/>
  <c r="Z77" i="105" s="1"/>
  <c r="Z197" i="105" s="1"/>
  <c r="Z125" i="65"/>
  <c r="Z154" i="65" s="1"/>
  <c r="Z59" i="105" s="1"/>
  <c r="Z99" i="105" s="1"/>
  <c r="AF143" i="65"/>
  <c r="AF172" i="65" s="1"/>
  <c r="AF77" i="105" s="1"/>
  <c r="AF197" i="105" s="1"/>
  <c r="AF125" i="65"/>
  <c r="AF154" i="65" s="1"/>
  <c r="AF59" i="105" s="1"/>
  <c r="AF99" i="105" s="1"/>
  <c r="T143" i="65"/>
  <c r="T172" i="65" s="1"/>
  <c r="T77" i="105" s="1"/>
  <c r="T197" i="105" s="1"/>
  <c r="T134" i="65"/>
  <c r="T163" i="65" s="1"/>
  <c r="T68" i="105" s="1"/>
  <c r="T186" i="105" s="1"/>
  <c r="T125" i="65"/>
  <c r="T154" i="65" s="1"/>
  <c r="T59" i="105" s="1"/>
  <c r="T99" i="105" s="1"/>
  <c r="S143" i="65"/>
  <c r="S172" i="65" s="1"/>
  <c r="S77" i="105" s="1"/>
  <c r="S197" i="105" s="1"/>
  <c r="S125" i="65"/>
  <c r="S154" i="65" s="1"/>
  <c r="S59" i="105" s="1"/>
  <c r="S99" i="105" s="1"/>
  <c r="S134" i="65"/>
  <c r="S163" i="65" s="1"/>
  <c r="S68" i="105" s="1"/>
  <c r="S186" i="105" s="1"/>
  <c r="X143" i="65"/>
  <c r="X172" i="65" s="1"/>
  <c r="X77" i="105" s="1"/>
  <c r="X197" i="105" s="1"/>
  <c r="X125" i="65"/>
  <c r="X154" i="65" s="1"/>
  <c r="X59" i="105" s="1"/>
  <c r="X99" i="105" s="1"/>
  <c r="N143" i="65"/>
  <c r="N172" i="65" s="1"/>
  <c r="N77" i="105" s="1"/>
  <c r="N197" i="105" s="1"/>
  <c r="N125" i="65"/>
  <c r="N154" i="65" s="1"/>
  <c r="N59" i="105" s="1"/>
  <c r="N99" i="105" s="1"/>
  <c r="N134" i="65"/>
  <c r="N163" i="65" s="1"/>
  <c r="N68" i="105" s="1"/>
  <c r="N186" i="105" s="1"/>
  <c r="AC125" i="65"/>
  <c r="AC154" i="65" s="1"/>
  <c r="AC59" i="105" s="1"/>
  <c r="AC99" i="105" s="1"/>
  <c r="AC143" i="65"/>
  <c r="AC172" i="65" s="1"/>
  <c r="AC77" i="105" s="1"/>
  <c r="AC197" i="105" s="1"/>
  <c r="V143" i="65"/>
  <c r="V172" i="65" s="1"/>
  <c r="V77" i="105" s="1"/>
  <c r="V197" i="105" s="1"/>
  <c r="V125" i="65"/>
  <c r="V154" i="65" s="1"/>
  <c r="V59" i="105" s="1"/>
  <c r="V99" i="105" s="1"/>
  <c r="V134" i="65"/>
  <c r="V163" i="65" s="1"/>
  <c r="V68" i="105" s="1"/>
  <c r="V186" i="105" s="1"/>
  <c r="Y125" i="65"/>
  <c r="Y154" i="65" s="1"/>
  <c r="Y59" i="105" s="1"/>
  <c r="Y99" i="105" s="1"/>
  <c r="Y143" i="65"/>
  <c r="Y172" i="65" s="1"/>
  <c r="Y77" i="105" s="1"/>
  <c r="Y197" i="105" s="1"/>
  <c r="O143" i="65"/>
  <c r="O172" i="65" s="1"/>
  <c r="O77" i="105" s="1"/>
  <c r="O197" i="105" s="1"/>
  <c r="O134" i="65"/>
  <c r="O163" i="65" s="1"/>
  <c r="O68" i="105" s="1"/>
  <c r="O186" i="105" s="1"/>
  <c r="O125" i="65"/>
  <c r="O154" i="65" s="1"/>
  <c r="O59" i="105" s="1"/>
  <c r="O99" i="105" s="1"/>
  <c r="M125" i="65"/>
  <c r="M154" i="65" s="1"/>
  <c r="M59" i="105" s="1"/>
  <c r="M99" i="105" s="1"/>
  <c r="M134" i="65"/>
  <c r="M163" i="65" s="1"/>
  <c r="M68" i="105" s="1"/>
  <c r="M186" i="105" s="1"/>
  <c r="M143" i="65"/>
  <c r="M172" i="65" s="1"/>
  <c r="M77" i="105" s="1"/>
  <c r="M197" i="105" s="1"/>
  <c r="U143" i="65"/>
  <c r="U172" i="65" s="1"/>
  <c r="U77" i="105" s="1"/>
  <c r="U197" i="105" s="1"/>
  <c r="U134" i="65"/>
  <c r="U163" i="65" s="1"/>
  <c r="U68" i="105" s="1"/>
  <c r="U186" i="105" s="1"/>
  <c r="U125" i="65"/>
  <c r="U154" i="65" s="1"/>
  <c r="U59" i="105" s="1"/>
  <c r="U99" i="105" s="1"/>
  <c r="AD143" i="65"/>
  <c r="AD172" i="65" s="1"/>
  <c r="AD77" i="105" s="1"/>
  <c r="AD197" i="105" s="1"/>
  <c r="AD125" i="65"/>
  <c r="AD154" i="65" s="1"/>
  <c r="AD59" i="105" s="1"/>
  <c r="AD99" i="105" s="1"/>
  <c r="P143" i="65"/>
  <c r="P172" i="65" s="1"/>
  <c r="P77" i="105" s="1"/>
  <c r="P197" i="105" s="1"/>
  <c r="P134" i="65"/>
  <c r="P163" i="65" s="1"/>
  <c r="P68" i="105" s="1"/>
  <c r="P186" i="105" s="1"/>
  <c r="P125" i="65"/>
  <c r="P154" i="65" s="1"/>
  <c r="P59" i="105" s="1"/>
  <c r="P99" i="105" s="1"/>
  <c r="AE143" i="65"/>
  <c r="AE172" i="65" s="1"/>
  <c r="AE77" i="105" s="1"/>
  <c r="AE197" i="105" s="1"/>
  <c r="AE125" i="65"/>
  <c r="AE154" i="65" s="1"/>
  <c r="AE59" i="105" s="1"/>
  <c r="AE99" i="105" s="1"/>
  <c r="AA143" i="65"/>
  <c r="AA172" i="65" s="1"/>
  <c r="AA77" i="105" s="1"/>
  <c r="AA197" i="105" s="1"/>
  <c r="AA125" i="65"/>
  <c r="AA154" i="65" s="1"/>
  <c r="AA59" i="105" s="1"/>
  <c r="AA99" i="105" s="1"/>
  <c r="J59" i="105"/>
  <c r="J99" i="105" s="1"/>
  <c r="J61" i="105"/>
  <c r="J101" i="105" s="1"/>
  <c r="H101" i="105" s="1"/>
  <c r="H80" i="41"/>
  <c r="H100" i="105"/>
  <c r="AD79" i="41"/>
  <c r="AD83" i="41" s="1"/>
  <c r="AA79" i="41"/>
  <c r="AA83" i="41" s="1"/>
  <c r="O79" i="41"/>
  <c r="O83" i="41" s="1"/>
  <c r="M79" i="41"/>
  <c r="M83" i="41" s="1"/>
  <c r="J121" i="105"/>
  <c r="AB79" i="41"/>
  <c r="AB83" i="41" s="1"/>
  <c r="R79" i="41"/>
  <c r="R83" i="41" s="1"/>
  <c r="X79" i="41"/>
  <c r="X83" i="41" s="1"/>
  <c r="N79" i="41"/>
  <c r="N83" i="41" s="1"/>
  <c r="J109" i="105"/>
  <c r="Z79" i="41"/>
  <c r="Z83" i="41" s="1"/>
  <c r="W79" i="41"/>
  <c r="W83" i="41" s="1"/>
  <c r="P79" i="41"/>
  <c r="P83" i="41" s="1"/>
  <c r="AE79" i="41"/>
  <c r="AE83" i="41" s="1"/>
  <c r="U79" i="41"/>
  <c r="U83" i="41" s="1"/>
  <c r="J55" i="55"/>
  <c r="A4" i="74"/>
  <c r="T79" i="41"/>
  <c r="T83" i="41" s="1"/>
  <c r="S79" i="41"/>
  <c r="S83" i="41" s="1"/>
  <c r="AC79" i="41"/>
  <c r="AC83" i="41" s="1"/>
  <c r="J119" i="105"/>
  <c r="Y79" i="41"/>
  <c r="Y83" i="41" s="1"/>
  <c r="L79" i="41"/>
  <c r="L83" i="41" s="1"/>
  <c r="J111" i="105"/>
  <c r="AF79" i="41"/>
  <c r="AF83" i="41" s="1"/>
  <c r="K79" i="41"/>
  <c r="V79" i="41"/>
  <c r="V83" i="41" s="1"/>
  <c r="AN227" i="41" l="1"/>
  <c r="AN229" i="41" s="1"/>
  <c r="AN425" i="41" s="1"/>
  <c r="AN416" i="41"/>
  <c r="AN35" i="65" s="1"/>
  <c r="AN113" i="65" s="1"/>
  <c r="AL41" i="82" s="1"/>
  <c r="AB227" i="41"/>
  <c r="AB229" i="41" s="1"/>
  <c r="AB425" i="41" s="1"/>
  <c r="AB416" i="41"/>
  <c r="AB35" i="65" s="1"/>
  <c r="AB113" i="65" s="1"/>
  <c r="AB41" i="82" s="1"/>
  <c r="AH227" i="41"/>
  <c r="AH229" i="41" s="1"/>
  <c r="AH425" i="41" s="1"/>
  <c r="AH416" i="41"/>
  <c r="AH35" i="65" s="1"/>
  <c r="AH113" i="65" s="1"/>
  <c r="AH41" i="82" s="1"/>
  <c r="AI227" i="41"/>
  <c r="AI229" i="41" s="1"/>
  <c r="AI425" i="41" s="1"/>
  <c r="AI416" i="41"/>
  <c r="AI35" i="65" s="1"/>
  <c r="AI113" i="65" s="1"/>
  <c r="AI41" i="82" s="1"/>
  <c r="K227" i="41"/>
  <c r="K229" i="41" s="1"/>
  <c r="K425" i="41" s="1"/>
  <c r="K416" i="41"/>
  <c r="K35" i="65" s="1"/>
  <c r="K113" i="65" s="1"/>
  <c r="K41" i="82" s="1"/>
  <c r="AO227" i="41"/>
  <c r="AO229" i="41" s="1"/>
  <c r="AO425" i="41" s="1"/>
  <c r="AO416" i="41"/>
  <c r="AO35" i="65" s="1"/>
  <c r="AO113" i="65" s="1"/>
  <c r="AO124" i="65" s="1"/>
  <c r="AO153" i="65" s="1"/>
  <c r="AO58" i="105" s="1"/>
  <c r="AO98" i="105" s="1"/>
  <c r="AJ227" i="41"/>
  <c r="AJ229" i="41" s="1"/>
  <c r="AJ425" i="41" s="1"/>
  <c r="AJ416" i="41"/>
  <c r="AJ35" i="65" s="1"/>
  <c r="AJ113" i="65" s="1"/>
  <c r="AJ41" i="82" s="1"/>
  <c r="AK227" i="41"/>
  <c r="AK229" i="41" s="1"/>
  <c r="AK425" i="41" s="1"/>
  <c r="AK416" i="41"/>
  <c r="AK35" i="65" s="1"/>
  <c r="AK113" i="65" s="1"/>
  <c r="AK124" i="65" s="1"/>
  <c r="AK153" i="65" s="1"/>
  <c r="AK58" i="105" s="1"/>
  <c r="AK98" i="105" s="1"/>
  <c r="AM227" i="41"/>
  <c r="AM229" i="41" s="1"/>
  <c r="AM425" i="41" s="1"/>
  <c r="AM416" i="41"/>
  <c r="AM35" i="65" s="1"/>
  <c r="AM113" i="65" s="1"/>
  <c r="AM124" i="65" s="1"/>
  <c r="AM153" i="65" s="1"/>
  <c r="AM58" i="105" s="1"/>
  <c r="AM98" i="105" s="1"/>
  <c r="R227" i="41"/>
  <c r="R229" i="41" s="1"/>
  <c r="R425" i="41" s="1"/>
  <c r="R416" i="41"/>
  <c r="R35" i="65" s="1"/>
  <c r="R113" i="65" s="1"/>
  <c r="R41" i="82" s="1"/>
  <c r="L227" i="41"/>
  <c r="L229" i="41" s="1"/>
  <c r="L425" i="41" s="1"/>
  <c r="L416" i="41"/>
  <c r="L35" i="65" s="1"/>
  <c r="L113" i="65" s="1"/>
  <c r="L41" i="82" s="1"/>
  <c r="AL227" i="41"/>
  <c r="AL229" i="41" s="1"/>
  <c r="AL425" i="41" s="1"/>
  <c r="AL416" i="41"/>
  <c r="AL35" i="65" s="1"/>
  <c r="AL113" i="65" s="1"/>
  <c r="AK41" i="82" s="1"/>
  <c r="W227" i="41"/>
  <c r="W229" i="41" s="1"/>
  <c r="W425" i="41" s="1"/>
  <c r="W416" i="41"/>
  <c r="W35" i="65" s="1"/>
  <c r="W113" i="65" s="1"/>
  <c r="W41" i="82" s="1"/>
  <c r="AG227" i="41"/>
  <c r="AG229" i="41" s="1"/>
  <c r="AG425" i="41" s="1"/>
  <c r="AG416" i="41"/>
  <c r="AG35" i="65" s="1"/>
  <c r="AG113" i="65" s="1"/>
  <c r="AG41" i="82" s="1"/>
  <c r="Q227" i="41"/>
  <c r="Q229" i="41" s="1"/>
  <c r="Q425" i="41" s="1"/>
  <c r="Q416" i="41"/>
  <c r="Q35" i="65" s="1"/>
  <c r="Q113" i="65" s="1"/>
  <c r="Q41" i="82" s="1"/>
  <c r="AD119" i="105"/>
  <c r="M119" i="105"/>
  <c r="O109" i="105"/>
  <c r="V109" i="105"/>
  <c r="S119" i="105"/>
  <c r="AA119" i="105"/>
  <c r="P109" i="105"/>
  <c r="M109" i="105"/>
  <c r="O119" i="105"/>
  <c r="N109" i="105"/>
  <c r="X119" i="105"/>
  <c r="AF119" i="105"/>
  <c r="U109" i="105"/>
  <c r="Y119" i="105"/>
  <c r="T109" i="105"/>
  <c r="P119" i="105"/>
  <c r="V119" i="105"/>
  <c r="S109" i="105"/>
  <c r="AE119" i="105"/>
  <c r="U119" i="105"/>
  <c r="AC119" i="105"/>
  <c r="N119" i="105"/>
  <c r="T119" i="105"/>
  <c r="Z119" i="105"/>
  <c r="AM171" i="65"/>
  <c r="AM76" i="105" s="1"/>
  <c r="AM118" i="105" s="1"/>
  <c r="AK171" i="65"/>
  <c r="AK76" i="105" s="1"/>
  <c r="AK118" i="105" s="1"/>
  <c r="AO171" i="65"/>
  <c r="AO76" i="105" s="1"/>
  <c r="AO118" i="105" s="1"/>
  <c r="H110" i="105"/>
  <c r="H121" i="105"/>
  <c r="H111" i="105"/>
  <c r="H99" i="105"/>
  <c r="K83" i="41"/>
  <c r="H83" i="41" s="1"/>
  <c r="H79" i="41"/>
  <c r="H120" i="105"/>
  <c r="H85" i="41" l="1"/>
  <c r="H88" i="105" s="1"/>
  <c r="H131" i="105" s="1"/>
  <c r="AJ142" i="65"/>
  <c r="AJ171" i="65" s="1"/>
  <c r="AJ76" i="105" s="1"/>
  <c r="AJ196" i="105" s="1"/>
  <c r="Q133" i="65"/>
  <c r="Q162" i="65" s="1"/>
  <c r="Q67" i="105" s="1"/>
  <c r="Q185" i="105" s="1"/>
  <c r="AH133" i="65"/>
  <c r="AH162" i="65" s="1"/>
  <c r="AH67" i="105" s="1"/>
  <c r="AH185" i="105" s="1"/>
  <c r="AH124" i="65"/>
  <c r="AH153" i="65" s="1"/>
  <c r="AH58" i="105" s="1"/>
  <c r="AH98" i="105" s="1"/>
  <c r="AH142" i="65"/>
  <c r="AH171" i="65" s="1"/>
  <c r="AH76" i="105" s="1"/>
  <c r="AH196" i="105" s="1"/>
  <c r="AI238" i="41"/>
  <c r="AI273" i="41" s="1"/>
  <c r="AJ124" i="65"/>
  <c r="AJ153" i="65" s="1"/>
  <c r="AJ58" i="105" s="1"/>
  <c r="AJ98" i="105" s="1"/>
  <c r="AJ133" i="65"/>
  <c r="AJ162" i="65" s="1"/>
  <c r="AJ67" i="105" s="1"/>
  <c r="AJ185" i="105" s="1"/>
  <c r="K238" i="41"/>
  <c r="K252" i="41" s="1"/>
  <c r="AH238" i="41"/>
  <c r="AH405" i="41" s="1"/>
  <c r="AH414" i="41" s="1"/>
  <c r="Q124" i="65"/>
  <c r="Q153" i="65" s="1"/>
  <c r="Q58" i="105" s="1"/>
  <c r="Q98" i="105" s="1"/>
  <c r="Q142" i="65"/>
  <c r="Q171" i="65" s="1"/>
  <c r="Q76" i="105" s="1"/>
  <c r="Q196" i="105" s="1"/>
  <c r="AN238" i="41"/>
  <c r="AN274" i="41" s="1"/>
  <c r="AM238" i="41"/>
  <c r="AM273" i="41" s="1"/>
  <c r="AJ238" i="41"/>
  <c r="AJ406" i="41" s="1"/>
  <c r="AJ415" i="41" s="1"/>
  <c r="Q238" i="41"/>
  <c r="Q405" i="41" s="1"/>
  <c r="Q414" i="41" s="1"/>
  <c r="AG294" i="41"/>
  <c r="AG296" i="41" s="1"/>
  <c r="W238" i="41"/>
  <c r="W404" i="41" s="1"/>
  <c r="W413" i="41" s="1"/>
  <c r="L238" i="41"/>
  <c r="L275" i="41" s="1"/>
  <c r="Q294" i="41"/>
  <c r="Q296" i="41" s="1"/>
  <c r="AK238" i="41"/>
  <c r="AK404" i="41" s="1"/>
  <c r="AK413" i="41" s="1"/>
  <c r="AO294" i="41"/>
  <c r="AO296" i="41" s="1"/>
  <c r="AB238" i="41"/>
  <c r="AB404" i="41" s="1"/>
  <c r="AB413" i="41" s="1"/>
  <c r="AI294" i="41"/>
  <c r="AI296" i="41" s="1"/>
  <c r="AL294" i="41"/>
  <c r="AL296" i="41" s="1"/>
  <c r="R238" i="41"/>
  <c r="R404" i="41" s="1"/>
  <c r="R413" i="41" s="1"/>
  <c r="W294" i="41"/>
  <c r="W296" i="41" s="1"/>
  <c r="R294" i="41"/>
  <c r="R296" i="41" s="1"/>
  <c r="AL238" i="41"/>
  <c r="AL273" i="41" s="1"/>
  <c r="AO238" i="41"/>
  <c r="AO404" i="41" s="1"/>
  <c r="AO413" i="41" s="1"/>
  <c r="AK294" i="41"/>
  <c r="AK296" i="41" s="1"/>
  <c r="L294" i="41"/>
  <c r="L296" i="41" s="1"/>
  <c r="AH294" i="41"/>
  <c r="AH296" i="41" s="1"/>
  <c r="AG124" i="65"/>
  <c r="AG153" i="65" s="1"/>
  <c r="AG58" i="105" s="1"/>
  <c r="AG98" i="105" s="1"/>
  <c r="AJ294" i="41"/>
  <c r="AJ296" i="41" s="1"/>
  <c r="AG142" i="65"/>
  <c r="AG171" i="65" s="1"/>
  <c r="AG76" i="105" s="1"/>
  <c r="AG196" i="105" s="1"/>
  <c r="AL124" i="65"/>
  <c r="AL153" i="65" s="1"/>
  <c r="AL58" i="105" s="1"/>
  <c r="AL98" i="105" s="1"/>
  <c r="AG238" i="41"/>
  <c r="AG275" i="41" s="1"/>
  <c r="AG280" i="41" s="1"/>
  <c r="AG285" i="41" s="1"/>
  <c r="AG363" i="41" s="1"/>
  <c r="AG365" i="41" s="1"/>
  <c r="AG367" i="41" s="1"/>
  <c r="AG369" i="41" s="1"/>
  <c r="AG394" i="41" s="1"/>
  <c r="AN294" i="41"/>
  <c r="AN296" i="41" s="1"/>
  <c r="AB294" i="41"/>
  <c r="AB296" i="41" s="1"/>
  <c r="AM294" i="41"/>
  <c r="AM296" i="41" s="1"/>
  <c r="K294" i="41"/>
  <c r="K296" i="41" s="1"/>
  <c r="AG133" i="65"/>
  <c r="AG162" i="65" s="1"/>
  <c r="AG67" i="105" s="1"/>
  <c r="AG185" i="105" s="1"/>
  <c r="AL142" i="65"/>
  <c r="AL171" i="65" s="1"/>
  <c r="AL76" i="105" s="1"/>
  <c r="AL196" i="105" s="1"/>
  <c r="AI124" i="65"/>
  <c r="AI153" i="65" s="1"/>
  <c r="AI58" i="105" s="1"/>
  <c r="AI98" i="105" s="1"/>
  <c r="AI142" i="65"/>
  <c r="AI171" i="65" s="1"/>
  <c r="AI76" i="105" s="1"/>
  <c r="AI196" i="105" s="1"/>
  <c r="AN124" i="65"/>
  <c r="AN153" i="65" s="1"/>
  <c r="AN58" i="105" s="1"/>
  <c r="AN98" i="105" s="1"/>
  <c r="AN142" i="65"/>
  <c r="AN171" i="65" s="1"/>
  <c r="AN76" i="105" s="1"/>
  <c r="AN196" i="105" s="1"/>
  <c r="L124" i="65"/>
  <c r="L153" i="65" s="1"/>
  <c r="L58" i="105" s="1"/>
  <c r="L98" i="105" s="1"/>
  <c r="L133" i="65"/>
  <c r="L162" i="65" s="1"/>
  <c r="L67" i="105" s="1"/>
  <c r="L142" i="65"/>
  <c r="L171" i="65" s="1"/>
  <c r="L76" i="105" s="1"/>
  <c r="AB124" i="65"/>
  <c r="AB153" i="65" s="1"/>
  <c r="AB58" i="105" s="1"/>
  <c r="AB98" i="105" s="1"/>
  <c r="AB142" i="65"/>
  <c r="AB171" i="65" s="1"/>
  <c r="AB76" i="105" s="1"/>
  <c r="R142" i="65"/>
  <c r="R171" i="65" s="1"/>
  <c r="R76" i="105" s="1"/>
  <c r="R124" i="65"/>
  <c r="R153" i="65" s="1"/>
  <c r="R58" i="105" s="1"/>
  <c r="R98" i="105" s="1"/>
  <c r="R133" i="65"/>
  <c r="R162" i="65" s="1"/>
  <c r="R67" i="105" s="1"/>
  <c r="K142" i="65"/>
  <c r="K171" i="65" s="1"/>
  <c r="K76" i="105" s="1"/>
  <c r="K196" i="105" s="1"/>
  <c r="K133" i="65"/>
  <c r="K162" i="65" s="1"/>
  <c r="K67" i="105" s="1"/>
  <c r="K185" i="105" s="1"/>
  <c r="K124" i="65"/>
  <c r="K153" i="65" s="1"/>
  <c r="K58" i="105" s="1"/>
  <c r="K98" i="105" s="1"/>
  <c r="W142" i="65"/>
  <c r="W171" i="65" s="1"/>
  <c r="W76" i="105" s="1"/>
  <c r="W124" i="65"/>
  <c r="W153" i="65" s="1"/>
  <c r="W58" i="105" s="1"/>
  <c r="W98" i="105" s="1"/>
  <c r="H109" i="105"/>
  <c r="H119" i="105"/>
  <c r="H85" i="105"/>
  <c r="H128" i="105" s="1"/>
  <c r="Q108" i="105" l="1"/>
  <c r="AH269" i="41"/>
  <c r="AB118" i="105"/>
  <c r="AB196" i="105"/>
  <c r="L118" i="105"/>
  <c r="L196" i="105"/>
  <c r="L108" i="105"/>
  <c r="L185" i="105"/>
  <c r="W118" i="105"/>
  <c r="W196" i="105"/>
  <c r="R108" i="105"/>
  <c r="R185" i="105"/>
  <c r="R118" i="105"/>
  <c r="R196" i="105"/>
  <c r="AH108" i="105"/>
  <c r="K268" i="41"/>
  <c r="AJ274" i="41"/>
  <c r="AJ275" i="41"/>
  <c r="AI250" i="41"/>
  <c r="AJ250" i="41"/>
  <c r="AJ251" i="41"/>
  <c r="AJ405" i="41"/>
  <c r="AJ414" i="41" s="1"/>
  <c r="AJ252" i="41"/>
  <c r="AJ269" i="41"/>
  <c r="AJ404" i="41"/>
  <c r="AJ413" i="41" s="1"/>
  <c r="AJ270" i="41"/>
  <c r="AJ273" i="41"/>
  <c r="AN250" i="41"/>
  <c r="AN275" i="41"/>
  <c r="AI251" i="41"/>
  <c r="AI274" i="41"/>
  <c r="AI275" i="41"/>
  <c r="AH118" i="105"/>
  <c r="AI404" i="41"/>
  <c r="AI413" i="41" s="1"/>
  <c r="AH406" i="41"/>
  <c r="AH415" i="41" s="1"/>
  <c r="AH268" i="41"/>
  <c r="AJ118" i="105"/>
  <c r="AI252" i="41"/>
  <c r="AI405" i="41"/>
  <c r="AI414" i="41" s="1"/>
  <c r="AI33" i="65" s="1"/>
  <c r="AI111" i="65" s="1"/>
  <c r="AI39" i="82" s="1"/>
  <c r="AJ268" i="41"/>
  <c r="AJ108" i="105"/>
  <c r="AI268" i="41"/>
  <c r="AI406" i="41"/>
  <c r="AI415" i="41" s="1"/>
  <c r="AI34" i="65" s="1"/>
  <c r="AI112" i="65" s="1"/>
  <c r="AI40" i="82" s="1"/>
  <c r="AI269" i="41"/>
  <c r="AI270" i="41"/>
  <c r="K269" i="41"/>
  <c r="K270" i="41"/>
  <c r="K275" i="41"/>
  <c r="K273" i="41"/>
  <c r="K405" i="41"/>
  <c r="K274" i="41"/>
  <c r="K250" i="41"/>
  <c r="K404" i="41"/>
  <c r="K251" i="41"/>
  <c r="K406" i="41"/>
  <c r="AH270" i="41"/>
  <c r="AH274" i="41"/>
  <c r="AH273" i="41"/>
  <c r="AH275" i="41"/>
  <c r="AH250" i="41"/>
  <c r="AH251" i="41"/>
  <c r="AH404" i="41"/>
  <c r="AH413" i="41" s="1"/>
  <c r="AH252" i="41"/>
  <c r="AN252" i="41"/>
  <c r="AN405" i="41"/>
  <c r="AN414" i="41" s="1"/>
  <c r="AN33" i="65" s="1"/>
  <c r="AN111" i="65" s="1"/>
  <c r="AL39" i="82" s="1"/>
  <c r="AN268" i="41"/>
  <c r="AN406" i="41"/>
  <c r="AN415" i="41" s="1"/>
  <c r="AN34" i="65" s="1"/>
  <c r="AN112" i="65" s="1"/>
  <c r="AL40" i="82" s="1"/>
  <c r="AN251" i="41"/>
  <c r="AN269" i="41"/>
  <c r="AL275" i="41"/>
  <c r="AN404" i="41"/>
  <c r="AN413" i="41" s="1"/>
  <c r="AK252" i="41"/>
  <c r="AN270" i="41"/>
  <c r="AK273" i="41"/>
  <c r="AN273" i="41"/>
  <c r="AK405" i="41"/>
  <c r="AK414" i="41" s="1"/>
  <c r="Q118" i="105"/>
  <c r="AM275" i="41"/>
  <c r="AM404" i="41"/>
  <c r="AM413" i="41" s="1"/>
  <c r="Q251" i="41"/>
  <c r="Q269" i="41"/>
  <c r="Q404" i="41"/>
  <c r="Q413" i="41" s="1"/>
  <c r="Q268" i="41"/>
  <c r="Q406" i="41"/>
  <c r="Q415" i="41" s="1"/>
  <c r="Q270" i="41"/>
  <c r="Q273" i="41"/>
  <c r="L404" i="41"/>
  <c r="L413" i="41" s="1"/>
  <c r="Q274" i="41"/>
  <c r="Q250" i="41"/>
  <c r="Q275" i="41"/>
  <c r="Q252" i="41"/>
  <c r="W405" i="41"/>
  <c r="W414" i="41" s="1"/>
  <c r="W406" i="41"/>
  <c r="W415" i="41" s="1"/>
  <c r="R252" i="41"/>
  <c r="W251" i="41"/>
  <c r="R268" i="41"/>
  <c r="AG251" i="41"/>
  <c r="W250" i="41"/>
  <c r="W269" i="41"/>
  <c r="R405" i="41"/>
  <c r="R414" i="41" s="1"/>
  <c r="W270" i="41"/>
  <c r="R406" i="41"/>
  <c r="R415" i="41" s="1"/>
  <c r="AO270" i="41"/>
  <c r="AM250" i="41"/>
  <c r="AM405" i="41"/>
  <c r="AM414" i="41" s="1"/>
  <c r="AM33" i="65" s="1"/>
  <c r="AM111" i="65" s="1"/>
  <c r="AM122" i="65" s="1"/>
  <c r="AM151" i="65" s="1"/>
  <c r="AM56" i="105" s="1"/>
  <c r="AM96" i="105" s="1"/>
  <c r="AG273" i="41"/>
  <c r="AG278" i="41" s="1"/>
  <c r="AG283" i="41" s="1"/>
  <c r="AO273" i="41"/>
  <c r="AM251" i="41"/>
  <c r="AM406" i="41"/>
  <c r="AM415" i="41" s="1"/>
  <c r="AM34" i="65" s="1"/>
  <c r="AM112" i="65" s="1"/>
  <c r="AM123" i="65" s="1"/>
  <c r="AM152" i="65" s="1"/>
  <c r="AM57" i="105" s="1"/>
  <c r="AM97" i="105" s="1"/>
  <c r="AO405" i="41"/>
  <c r="AO414" i="41" s="1"/>
  <c r="AO33" i="65" s="1"/>
  <c r="AO111" i="65" s="1"/>
  <c r="AO122" i="65" s="1"/>
  <c r="AO151" i="65" s="1"/>
  <c r="AO56" i="105" s="1"/>
  <c r="AO96" i="105" s="1"/>
  <c r="AM252" i="41"/>
  <c r="AO406" i="41"/>
  <c r="AO415" i="41" s="1"/>
  <c r="AO34" i="65" s="1"/>
  <c r="AO112" i="65" s="1"/>
  <c r="AO123" i="65" s="1"/>
  <c r="AO152" i="65" s="1"/>
  <c r="AO57" i="105" s="1"/>
  <c r="AO97" i="105" s="1"/>
  <c r="AM268" i="41"/>
  <c r="AM269" i="41"/>
  <c r="AM270" i="41"/>
  <c r="AM274" i="41"/>
  <c r="AO252" i="41"/>
  <c r="W274" i="41"/>
  <c r="W252" i="41"/>
  <c r="W273" i="41"/>
  <c r="L251" i="41"/>
  <c r="R273" i="41"/>
  <c r="AB252" i="41"/>
  <c r="AG404" i="41"/>
  <c r="AO274" i="41"/>
  <c r="W275" i="41"/>
  <c r="W268" i="41"/>
  <c r="L270" i="41"/>
  <c r="R274" i="41"/>
  <c r="L252" i="41"/>
  <c r="L273" i="41"/>
  <c r="L405" i="41"/>
  <c r="L414" i="41" s="1"/>
  <c r="AB273" i="41"/>
  <c r="L268" i="41"/>
  <c r="L274" i="41"/>
  <c r="L406" i="41"/>
  <c r="L415" i="41" s="1"/>
  <c r="AB405" i="41"/>
  <c r="AB414" i="41" s="1"/>
  <c r="L250" i="41"/>
  <c r="L269" i="41"/>
  <c r="AK268" i="41"/>
  <c r="AK274" i="41"/>
  <c r="AK406" i="41"/>
  <c r="AK415" i="41" s="1"/>
  <c r="AL404" i="41"/>
  <c r="AL413" i="41" s="1"/>
  <c r="AK250" i="41"/>
  <c r="AK269" i="41"/>
  <c r="AK275" i="41"/>
  <c r="AK251" i="41"/>
  <c r="AK270" i="41"/>
  <c r="AL250" i="41"/>
  <c r="AB268" i="41"/>
  <c r="AB274" i="41"/>
  <c r="AB406" i="41"/>
  <c r="AB415" i="41" s="1"/>
  <c r="AO268" i="41"/>
  <c r="AO250" i="41"/>
  <c r="AO275" i="41"/>
  <c r="R250" i="41"/>
  <c r="R269" i="41"/>
  <c r="R275" i="41"/>
  <c r="AB250" i="41"/>
  <c r="AB269" i="41"/>
  <c r="AB275" i="41"/>
  <c r="AG252" i="41"/>
  <c r="AG405" i="41"/>
  <c r="AG108" i="105"/>
  <c r="AO269" i="41"/>
  <c r="AO251" i="41"/>
  <c r="R251" i="41"/>
  <c r="R270" i="41"/>
  <c r="AB251" i="41"/>
  <c r="AB270" i="41"/>
  <c r="AG270" i="41"/>
  <c r="AG118" i="105"/>
  <c r="AL118" i="105"/>
  <c r="AL251" i="41"/>
  <c r="AL268" i="41"/>
  <c r="AL405" i="41"/>
  <c r="AL414" i="41" s="1"/>
  <c r="AL33" i="65" s="1"/>
  <c r="AL111" i="65" s="1"/>
  <c r="AK39" i="82" s="1"/>
  <c r="AL252" i="41"/>
  <c r="AL269" i="41"/>
  <c r="AL406" i="41"/>
  <c r="AL415" i="41" s="1"/>
  <c r="AL34" i="65" s="1"/>
  <c r="AL112" i="65" s="1"/>
  <c r="AK40" i="82" s="1"/>
  <c r="AL270" i="41"/>
  <c r="AL274" i="41"/>
  <c r="AG268" i="41"/>
  <c r="AG274" i="41"/>
  <c r="AG279" i="41" s="1"/>
  <c r="AG284" i="41" s="1"/>
  <c r="AG406" i="41"/>
  <c r="AG250" i="41"/>
  <c r="AG269" i="41"/>
  <c r="K108" i="105"/>
  <c r="K118" i="105"/>
  <c r="AI118" i="105"/>
  <c r="AN118" i="105"/>
  <c r="AK169" i="65"/>
  <c r="AK74" i="105" s="1"/>
  <c r="AK116" i="105" s="1"/>
  <c r="AO169" i="65"/>
  <c r="AO74" i="105" s="1"/>
  <c r="AO116" i="105" s="1"/>
  <c r="AO170" i="65"/>
  <c r="AO75" i="105" s="1"/>
  <c r="AO117" i="105" s="1"/>
  <c r="AM169" i="65"/>
  <c r="AM74" i="105" s="1"/>
  <c r="AM116" i="105" s="1"/>
  <c r="AK170" i="65"/>
  <c r="AK75" i="105" s="1"/>
  <c r="AK117" i="105" s="1"/>
  <c r="K191" i="41"/>
  <c r="K208" i="41" s="1"/>
  <c r="Y191" i="41"/>
  <c r="Y197" i="41" s="1"/>
  <c r="AA191" i="41"/>
  <c r="AA197" i="41" s="1"/>
  <c r="AG191" i="41"/>
  <c r="AG206" i="41" s="1"/>
  <c r="AO191" i="41"/>
  <c r="AN191" i="41"/>
  <c r="AE191" i="41"/>
  <c r="AE197" i="41" s="1"/>
  <c r="Q191" i="41"/>
  <c r="U191" i="41"/>
  <c r="U197" i="41" s="1"/>
  <c r="AL191" i="41"/>
  <c r="R191" i="41"/>
  <c r="AD191" i="41"/>
  <c r="AD197" i="41" s="1"/>
  <c r="S191" i="41"/>
  <c r="S197" i="41" s="1"/>
  <c r="N191" i="41"/>
  <c r="N197" i="41" s="1"/>
  <c r="X191" i="41"/>
  <c r="X197" i="41" s="1"/>
  <c r="AI191" i="41"/>
  <c r="AB191" i="41"/>
  <c r="Z191" i="41"/>
  <c r="Z197" i="41" s="1"/>
  <c r="AF191" i="41"/>
  <c r="AF197" i="41" s="1"/>
  <c r="O191" i="41"/>
  <c r="O197" i="41" s="1"/>
  <c r="AJ191" i="41"/>
  <c r="AK191" i="41"/>
  <c r="P191" i="41"/>
  <c r="P197" i="41" s="1"/>
  <c r="W191" i="41"/>
  <c r="AH191" i="41"/>
  <c r="AM191" i="41"/>
  <c r="T191" i="41"/>
  <c r="T197" i="41" s="1"/>
  <c r="AC191" i="41"/>
  <c r="AC197" i="41" s="1"/>
  <c r="V191" i="41"/>
  <c r="V197" i="41" s="1"/>
  <c r="L191" i="41"/>
  <c r="M191" i="41"/>
  <c r="M197" i="41" s="1"/>
  <c r="J191" i="41"/>
  <c r="J197" i="41" s="1"/>
  <c r="K414" i="41" l="1"/>
  <c r="AK278" i="41"/>
  <c r="AK283" i="41" s="1"/>
  <c r="AG299" i="41"/>
  <c r="AG305" i="41" s="1"/>
  <c r="AG392" i="41" s="1"/>
  <c r="AB278" i="41"/>
  <c r="AB283" i="41" s="1"/>
  <c r="AL278" i="41"/>
  <c r="AL283" i="41" s="1"/>
  <c r="AM278" i="41"/>
  <c r="AM283" i="41" s="1"/>
  <c r="AI278" i="41"/>
  <c r="AI283" i="41" s="1"/>
  <c r="AB279" i="41"/>
  <c r="AB284" i="41" s="1"/>
  <c r="Q278" i="41"/>
  <c r="Q283" i="41" s="1"/>
  <c r="AH278" i="41"/>
  <c r="AH283" i="41" s="1"/>
  <c r="AO278" i="41"/>
  <c r="AO283" i="41" s="1"/>
  <c r="AN278" i="41"/>
  <c r="AN283" i="41" s="1"/>
  <c r="L278" i="41"/>
  <c r="L283" i="41" s="1"/>
  <c r="K278" i="41"/>
  <c r="K283" i="41" s="1"/>
  <c r="AJ278" i="41"/>
  <c r="AJ283" i="41" s="1"/>
  <c r="W278" i="41"/>
  <c r="W283" i="41" s="1"/>
  <c r="AN280" i="41"/>
  <c r="AN285" i="41" s="1"/>
  <c r="AN363" i="41" s="1"/>
  <c r="R278" i="41"/>
  <c r="R283" i="41" s="1"/>
  <c r="AB280" i="41"/>
  <c r="AB285" i="41" s="1"/>
  <c r="AB363" i="41" s="1"/>
  <c r="R280" i="41"/>
  <c r="R285" i="41" s="1"/>
  <c r="R363" i="41" s="1"/>
  <c r="AI279" i="41"/>
  <c r="AI284" i="41" s="1"/>
  <c r="L280" i="41"/>
  <c r="L285" i="41" s="1"/>
  <c r="L363" i="41" s="1"/>
  <c r="AH280" i="41"/>
  <c r="AH285" i="41" s="1"/>
  <c r="AH363" i="41" s="1"/>
  <c r="Q280" i="41"/>
  <c r="Q285" i="41" s="1"/>
  <c r="Q363" i="41" s="1"/>
  <c r="K279" i="41"/>
  <c r="K284" i="41" s="1"/>
  <c r="W280" i="41"/>
  <c r="W285" i="41" s="1"/>
  <c r="W363" i="41" s="1"/>
  <c r="AL280" i="41"/>
  <c r="AL285" i="41" s="1"/>
  <c r="AL363" i="41" s="1"/>
  <c r="AO280" i="41"/>
  <c r="AO285" i="41" s="1"/>
  <c r="AO363" i="41" s="1"/>
  <c r="K280" i="41"/>
  <c r="K285" i="41" s="1"/>
  <c r="K363" i="41" s="1"/>
  <c r="AM280" i="41"/>
  <c r="AM285" i="41" s="1"/>
  <c r="AM363" i="41" s="1"/>
  <c r="AN279" i="41"/>
  <c r="AN284" i="41" s="1"/>
  <c r="AI280" i="41"/>
  <c r="AI285" i="41" s="1"/>
  <c r="AI363" i="41" s="1"/>
  <c r="AJ280" i="41"/>
  <c r="AJ285" i="41" s="1"/>
  <c r="AJ363" i="41" s="1"/>
  <c r="AK280" i="41"/>
  <c r="AK285" i="41" s="1"/>
  <c r="AK363" i="41" s="1"/>
  <c r="AG331" i="41"/>
  <c r="AG333" i="41" s="1"/>
  <c r="AG335" i="41" s="1"/>
  <c r="AG337" i="41" s="1"/>
  <c r="AG393" i="41" s="1"/>
  <c r="W279" i="41"/>
  <c r="W284" i="41" s="1"/>
  <c r="Q279" i="41"/>
  <c r="Q284" i="41" s="1"/>
  <c r="AJ279" i="41"/>
  <c r="AJ284" i="41" s="1"/>
  <c r="AO279" i="41"/>
  <c r="AO284" i="41" s="1"/>
  <c r="R279" i="41"/>
  <c r="R284" i="41" s="1"/>
  <c r="AM279" i="41"/>
  <c r="AM284" i="41" s="1"/>
  <c r="AL279" i="41"/>
  <c r="AL284" i="41" s="1"/>
  <c r="L279" i="41"/>
  <c r="L284" i="41" s="1"/>
  <c r="AK279" i="41"/>
  <c r="AK284" i="41" s="1"/>
  <c r="AH279" i="41"/>
  <c r="AH284" i="41" s="1"/>
  <c r="K413" i="41"/>
  <c r="K415" i="41"/>
  <c r="AK122" i="105"/>
  <c r="AH33" i="65"/>
  <c r="AH111" i="65" s="1"/>
  <c r="AH39" i="82" s="1"/>
  <c r="Q33" i="65"/>
  <c r="Q111" i="65" s="1"/>
  <c r="W33" i="65"/>
  <c r="W111" i="65" s="1"/>
  <c r="W39" i="82" s="1"/>
  <c r="AJ34" i="65"/>
  <c r="AJ112" i="65" s="1"/>
  <c r="AJ40" i="82" s="1"/>
  <c r="AH34" i="65"/>
  <c r="AH112" i="65" s="1"/>
  <c r="AH40" i="82" s="1"/>
  <c r="AK34" i="65"/>
  <c r="AK112" i="65" s="1"/>
  <c r="AK33" i="65"/>
  <c r="AK111" i="65" s="1"/>
  <c r="M199" i="41"/>
  <c r="T199" i="41"/>
  <c r="AF199" i="41"/>
  <c r="X199" i="41"/>
  <c r="AE199" i="41"/>
  <c r="AA199" i="41"/>
  <c r="P199" i="41"/>
  <c r="Z199" i="41"/>
  <c r="N199" i="41"/>
  <c r="Y199" i="41"/>
  <c r="V199" i="41"/>
  <c r="S199" i="41"/>
  <c r="U199" i="41"/>
  <c r="J199" i="41"/>
  <c r="AC199" i="41"/>
  <c r="O199" i="41"/>
  <c r="AD199" i="41"/>
  <c r="AG208" i="41"/>
  <c r="AG415" i="41" s="1"/>
  <c r="Q32" i="65"/>
  <c r="Q110" i="65" s="1"/>
  <c r="AN141" i="65"/>
  <c r="AN170" i="65" s="1"/>
  <c r="AN75" i="105" s="1"/>
  <c r="AN195" i="105" s="1"/>
  <c r="AN123" i="65"/>
  <c r="AN152" i="65" s="1"/>
  <c r="AN57" i="105" s="1"/>
  <c r="AN97" i="105" s="1"/>
  <c r="AN140" i="65"/>
  <c r="AN169" i="65" s="1"/>
  <c r="AN74" i="105" s="1"/>
  <c r="AN194" i="105" s="1"/>
  <c r="AN122" i="65"/>
  <c r="AN151" i="65" s="1"/>
  <c r="AN56" i="105" s="1"/>
  <c r="AN96" i="105" s="1"/>
  <c r="AI141" i="65"/>
  <c r="AI170" i="65" s="1"/>
  <c r="AI75" i="105" s="1"/>
  <c r="AI195" i="105" s="1"/>
  <c r="AI123" i="65"/>
  <c r="AI152" i="65" s="1"/>
  <c r="AI57" i="105" s="1"/>
  <c r="AI97" i="105" s="1"/>
  <c r="AI122" i="65"/>
  <c r="AI151" i="65" s="1"/>
  <c r="AI56" i="105" s="1"/>
  <c r="AI96" i="105" s="1"/>
  <c r="AI140" i="65"/>
  <c r="AI169" i="65" s="1"/>
  <c r="AI74" i="105" s="1"/>
  <c r="AI194" i="105" s="1"/>
  <c r="AL123" i="65"/>
  <c r="AL152" i="65" s="1"/>
  <c r="AL57" i="105" s="1"/>
  <c r="AL97" i="105" s="1"/>
  <c r="AL141" i="65"/>
  <c r="AL170" i="65" s="1"/>
  <c r="AL75" i="105" s="1"/>
  <c r="AL195" i="105" s="1"/>
  <c r="AL140" i="65"/>
  <c r="AL169" i="65" s="1"/>
  <c r="AL74" i="105" s="1"/>
  <c r="AL194" i="105" s="1"/>
  <c r="AL122" i="65"/>
  <c r="AL151" i="65" s="1"/>
  <c r="AL56" i="105" s="1"/>
  <c r="AL96" i="105" s="1"/>
  <c r="L33" i="65"/>
  <c r="L111" i="65" s="1"/>
  <c r="L39" i="82" s="1"/>
  <c r="AB33" i="65"/>
  <c r="AB111" i="65" s="1"/>
  <c r="AB39" i="82" s="1"/>
  <c r="L331" i="41" l="1"/>
  <c r="K331" i="41"/>
  <c r="AB331" i="41"/>
  <c r="AG301" i="41"/>
  <c r="AG303" i="41" s="1"/>
  <c r="AH331" i="41"/>
  <c r="R299" i="41"/>
  <c r="R305" i="41" s="1"/>
  <c r="R392" i="41" s="1"/>
  <c r="R396" i="41" s="1"/>
  <c r="Q365" i="41"/>
  <c r="Q367" i="41" s="1"/>
  <c r="Q369" i="41" s="1"/>
  <c r="Q394" i="41" s="1"/>
  <c r="AB299" i="41"/>
  <c r="AB305" i="41" s="1"/>
  <c r="AB392" i="41" s="1"/>
  <c r="AB396" i="41" s="1"/>
  <c r="R331" i="41"/>
  <c r="AO299" i="41"/>
  <c r="AO305" i="41" s="1"/>
  <c r="AO392" i="41" s="1"/>
  <c r="AO396" i="41" s="1"/>
  <c r="Q299" i="41"/>
  <c r="Q305" i="41" s="1"/>
  <c r="Q392" i="41" s="1"/>
  <c r="Q396" i="41" s="1"/>
  <c r="AL365" i="41"/>
  <c r="AL367" i="41" s="1"/>
  <c r="AL369" i="41" s="1"/>
  <c r="AL394" i="41" s="1"/>
  <c r="AI331" i="41"/>
  <c r="L299" i="41"/>
  <c r="L305" i="41" s="1"/>
  <c r="L392" i="41" s="1"/>
  <c r="L396" i="41" s="1"/>
  <c r="K365" i="41"/>
  <c r="K367" i="41" s="1"/>
  <c r="K369" i="41" s="1"/>
  <c r="K394" i="41" s="1"/>
  <c r="K299" i="41"/>
  <c r="K305" i="41" s="1"/>
  <c r="K392" i="41" s="1"/>
  <c r="K396" i="41" s="1"/>
  <c r="AB365" i="41"/>
  <c r="AB367" i="41" s="1"/>
  <c r="AB369" i="41" s="1"/>
  <c r="AB394" i="41" s="1"/>
  <c r="AI299" i="41"/>
  <c r="AI305" i="41" s="1"/>
  <c r="AI392" i="41" s="1"/>
  <c r="AI396" i="41" s="1"/>
  <c r="AN331" i="41"/>
  <c r="AN299" i="41"/>
  <c r="AN305" i="41" s="1"/>
  <c r="AN392" i="41" s="1"/>
  <c r="AN396" i="41" s="1"/>
  <c r="AL299" i="41"/>
  <c r="AL305" i="41" s="1"/>
  <c r="AL392" i="41" s="1"/>
  <c r="AL396" i="41" s="1"/>
  <c r="AJ331" i="41"/>
  <c r="AI365" i="41"/>
  <c r="AI367" i="41" s="1"/>
  <c r="AI369" i="41" s="1"/>
  <c r="AI394" i="41" s="1"/>
  <c r="AO331" i="41"/>
  <c r="Q331" i="41"/>
  <c r="AM331" i="41"/>
  <c r="AJ365" i="41"/>
  <c r="AJ367" i="41" s="1"/>
  <c r="AJ369" i="41" s="1"/>
  <c r="AJ394" i="41" s="1"/>
  <c r="AO365" i="41"/>
  <c r="AO367" i="41" s="1"/>
  <c r="AO369" i="41" s="1"/>
  <c r="AO394" i="41" s="1"/>
  <c r="R365" i="41"/>
  <c r="R367" i="41" s="1"/>
  <c r="R369" i="41" s="1"/>
  <c r="R394" i="41" s="1"/>
  <c r="AM365" i="41"/>
  <c r="AM367" i="41" s="1"/>
  <c r="AM369" i="41" s="1"/>
  <c r="AM394" i="41" s="1"/>
  <c r="AK365" i="41"/>
  <c r="AK367" i="41" s="1"/>
  <c r="AK369" i="41" s="1"/>
  <c r="AK394" i="41" s="1"/>
  <c r="W299" i="41"/>
  <c r="W305" i="41" s="1"/>
  <c r="W392" i="41" s="1"/>
  <c r="W396" i="41" s="1"/>
  <c r="AK331" i="41"/>
  <c r="AL331" i="41"/>
  <c r="W365" i="41"/>
  <c r="W367" i="41" s="1"/>
  <c r="W369" i="41" s="1"/>
  <c r="W394" i="41" s="1"/>
  <c r="L365" i="41"/>
  <c r="L367" i="41" s="1"/>
  <c r="L369" i="41" s="1"/>
  <c r="L394" i="41" s="1"/>
  <c r="W331" i="41"/>
  <c r="AH299" i="41"/>
  <c r="AH305" i="41" s="1"/>
  <c r="AH392" i="41" s="1"/>
  <c r="AH396" i="41" s="1"/>
  <c r="AN365" i="41"/>
  <c r="AN367" i="41" s="1"/>
  <c r="AN369" i="41" s="1"/>
  <c r="AN394" i="41" s="1"/>
  <c r="AH365" i="41"/>
  <c r="AH367" i="41" s="1"/>
  <c r="AH369" i="41" s="1"/>
  <c r="AH394" i="41" s="1"/>
  <c r="AM299" i="41"/>
  <c r="AM305" i="41" s="1"/>
  <c r="AM392" i="41" s="1"/>
  <c r="AM396" i="41" s="1"/>
  <c r="AJ299" i="41"/>
  <c r="AJ305" i="41" s="1"/>
  <c r="AJ392" i="41" s="1"/>
  <c r="AJ396" i="41" s="1"/>
  <c r="AK299" i="41"/>
  <c r="AK305" i="41" s="1"/>
  <c r="AK392" i="41" s="1"/>
  <c r="AK396" i="41" s="1"/>
  <c r="AG413" i="41"/>
  <c r="AG414" i="41"/>
  <c r="P225" i="41"/>
  <c r="P416" i="41" s="1"/>
  <c r="P35" i="65" s="1"/>
  <c r="P113" i="65" s="1"/>
  <c r="O225" i="41"/>
  <c r="O416" i="41" s="1"/>
  <c r="O35" i="65" s="1"/>
  <c r="O113" i="65" s="1"/>
  <c r="S225" i="41"/>
  <c r="Z225" i="41"/>
  <c r="Z416" i="41" s="1"/>
  <c r="Z35" i="65" s="1"/>
  <c r="Z113" i="65" s="1"/>
  <c r="X225" i="41"/>
  <c r="AC225" i="41"/>
  <c r="AC416" i="41" s="1"/>
  <c r="AC35" i="65" s="1"/>
  <c r="AC113" i="65" s="1"/>
  <c r="V225" i="41"/>
  <c r="AF225" i="41"/>
  <c r="AF416" i="41" s="1"/>
  <c r="AF35" i="65" s="1"/>
  <c r="AF113" i="65" s="1"/>
  <c r="J225" i="41"/>
  <c r="Y225" i="41"/>
  <c r="Y416" i="41" s="1"/>
  <c r="Y35" i="65" s="1"/>
  <c r="Y113" i="65" s="1"/>
  <c r="AA225" i="41"/>
  <c r="T225" i="41"/>
  <c r="T416" i="41" s="1"/>
  <c r="T35" i="65" s="1"/>
  <c r="T113" i="65" s="1"/>
  <c r="AD225" i="41"/>
  <c r="AD416" i="41" s="1"/>
  <c r="AD35" i="65" s="1"/>
  <c r="AD113" i="65" s="1"/>
  <c r="U225" i="41"/>
  <c r="N225" i="41"/>
  <c r="N416" i="41" s="1"/>
  <c r="N35" i="65" s="1"/>
  <c r="N113" i="65" s="1"/>
  <c r="N41" i="82" s="1"/>
  <c r="AE225" i="41"/>
  <c r="M225" i="41"/>
  <c r="M416" i="41" s="1"/>
  <c r="M35" i="65" s="1"/>
  <c r="M113" i="65" s="1"/>
  <c r="M41" i="82" s="1"/>
  <c r="AH140" i="65"/>
  <c r="AH169" i="65" s="1"/>
  <c r="AH74" i="105" s="1"/>
  <c r="AH194" i="105" s="1"/>
  <c r="AH131" i="65"/>
  <c r="AH160" i="65" s="1"/>
  <c r="AH65" i="105" s="1"/>
  <c r="AH183" i="105" s="1"/>
  <c r="AH122" i="65"/>
  <c r="AH151" i="65" s="1"/>
  <c r="AH56" i="105" s="1"/>
  <c r="AH96" i="105" s="1"/>
  <c r="Q140" i="65"/>
  <c r="Q169" i="65" s="1"/>
  <c r="Q74" i="105" s="1"/>
  <c r="Q194" i="105" s="1"/>
  <c r="Q39" i="82"/>
  <c r="AK122" i="65"/>
  <c r="AK151" i="65" s="1"/>
  <c r="AK56" i="105" s="1"/>
  <c r="AK96" i="105" s="1"/>
  <c r="Q139" i="65"/>
  <c r="Q168" i="65" s="1"/>
  <c r="Q73" i="105" s="1"/>
  <c r="Q193" i="105" s="1"/>
  <c r="Q38" i="82"/>
  <c r="AK123" i="65"/>
  <c r="AK152" i="65" s="1"/>
  <c r="AK57" i="105" s="1"/>
  <c r="AK97" i="105" s="1"/>
  <c r="AL116" i="105"/>
  <c r="AI117" i="105"/>
  <c r="AL117" i="105"/>
  <c r="AN117" i="105"/>
  <c r="AI116" i="105"/>
  <c r="AN116" i="105"/>
  <c r="AJ132" i="65"/>
  <c r="AJ161" i="65" s="1"/>
  <c r="AJ66" i="105" s="1"/>
  <c r="AJ184" i="105" s="1"/>
  <c r="AJ123" i="65"/>
  <c r="AJ152" i="65" s="1"/>
  <c r="AJ57" i="105" s="1"/>
  <c r="AJ97" i="105" s="1"/>
  <c r="AJ141" i="65"/>
  <c r="AJ170" i="65" s="1"/>
  <c r="AJ75" i="105" s="1"/>
  <c r="AJ195" i="105" s="1"/>
  <c r="Q131" i="65"/>
  <c r="Q160" i="65" s="1"/>
  <c r="Q65" i="105" s="1"/>
  <c r="Q183" i="105" s="1"/>
  <c r="Q122" i="65"/>
  <c r="Q151" i="65" s="1"/>
  <c r="Q56" i="105" s="1"/>
  <c r="Q96" i="105" s="1"/>
  <c r="AH123" i="65"/>
  <c r="AH152" i="65" s="1"/>
  <c r="AH57" i="105" s="1"/>
  <c r="AH97" i="105" s="1"/>
  <c r="AH132" i="65"/>
  <c r="AH161" i="65" s="1"/>
  <c r="AH66" i="105" s="1"/>
  <c r="AH184" i="105" s="1"/>
  <c r="AH141" i="65"/>
  <c r="AH170" i="65" s="1"/>
  <c r="AH75" i="105" s="1"/>
  <c r="AH195" i="105" s="1"/>
  <c r="L32" i="65"/>
  <c r="L110" i="65" s="1"/>
  <c r="W32" i="65"/>
  <c r="W110" i="65" s="1"/>
  <c r="AB32" i="65"/>
  <c r="AB110" i="65" s="1"/>
  <c r="AB38" i="82" s="1"/>
  <c r="Q121" i="65"/>
  <c r="Q150" i="65" s="1"/>
  <c r="Q55" i="105" s="1"/>
  <c r="Q95" i="105" s="1"/>
  <c r="Q130" i="65"/>
  <c r="Q159" i="65" s="1"/>
  <c r="Q64" i="105" s="1"/>
  <c r="Q182" i="105" s="1"/>
  <c r="R32" i="65"/>
  <c r="R110" i="65" s="1"/>
  <c r="AB140" i="65"/>
  <c r="AB169" i="65" s="1"/>
  <c r="AB74" i="105" s="1"/>
  <c r="W122" i="65"/>
  <c r="W151" i="65" s="1"/>
  <c r="W56" i="105" s="1"/>
  <c r="W96" i="105" s="1"/>
  <c r="W140" i="65"/>
  <c r="W169" i="65" s="1"/>
  <c r="W74" i="105" s="1"/>
  <c r="L140" i="65"/>
  <c r="L169" i="65" s="1"/>
  <c r="L74" i="105" s="1"/>
  <c r="L131" i="65"/>
  <c r="L160" i="65" s="1"/>
  <c r="L65" i="105" s="1"/>
  <c r="L122" i="65"/>
  <c r="L151" i="65" s="1"/>
  <c r="L56" i="105" s="1"/>
  <c r="L96" i="105" s="1"/>
  <c r="AJ32" i="65"/>
  <c r="AJ110" i="65" s="1"/>
  <c r="AJ38" i="82" s="1"/>
  <c r="AB122" i="65"/>
  <c r="AB151" i="65" s="1"/>
  <c r="AB56" i="105" s="1"/>
  <c r="AB96" i="105" s="1"/>
  <c r="AO32" i="65"/>
  <c r="AO110" i="65" s="1"/>
  <c r="AO121" i="65" s="1"/>
  <c r="AO150" i="65" s="1"/>
  <c r="AO55" i="105" s="1"/>
  <c r="AH32" i="65"/>
  <c r="AH110" i="65" s="1"/>
  <c r="AH38" i="82" s="1"/>
  <c r="AN32" i="65"/>
  <c r="AN110" i="65" s="1"/>
  <c r="AL38" i="82" s="1"/>
  <c r="AL32" i="65"/>
  <c r="AL110" i="65" s="1"/>
  <c r="AK38" i="82" s="1"/>
  <c r="Q34" i="65"/>
  <c r="Q112" i="65" s="1"/>
  <c r="Q40" i="82" s="1"/>
  <c r="AI32" i="65"/>
  <c r="AI110" i="65" s="1"/>
  <c r="AI38" i="82" s="1"/>
  <c r="AM32" i="65"/>
  <c r="AM110" i="65" s="1"/>
  <c r="AM121" i="65" s="1"/>
  <c r="AM150" i="65" s="1"/>
  <c r="AM55" i="105" s="1"/>
  <c r="AK32" i="65"/>
  <c r="AK110" i="65" s="1"/>
  <c r="AI159" i="65"/>
  <c r="AI64" i="105" s="1"/>
  <c r="AM168" i="65"/>
  <c r="AM73" i="105" s="1"/>
  <c r="AM115" i="105" s="1"/>
  <c r="AM122" i="105" s="1"/>
  <c r="AO168" i="65"/>
  <c r="AO73" i="105" s="1"/>
  <c r="AO115" i="105" s="1"/>
  <c r="AO122" i="105" s="1"/>
  <c r="L106" i="105" l="1"/>
  <c r="L183" i="105"/>
  <c r="L116" i="105"/>
  <c r="L194" i="105"/>
  <c r="W116" i="105"/>
  <c r="W194" i="105"/>
  <c r="AB116" i="105"/>
  <c r="AB194" i="105"/>
  <c r="AN301" i="41"/>
  <c r="AN303" i="41" s="1"/>
  <c r="AL301" i="41"/>
  <c r="AL303" i="41" s="1"/>
  <c r="AB333" i="41"/>
  <c r="AB335" i="41" s="1"/>
  <c r="AB337" i="41" s="1"/>
  <c r="AB393" i="41" s="1"/>
  <c r="AM301" i="41"/>
  <c r="AM303" i="41" s="1"/>
  <c r="AK333" i="41"/>
  <c r="AK335" i="41" s="1"/>
  <c r="AK337" i="41" s="1"/>
  <c r="AK393" i="41" s="1"/>
  <c r="R301" i="41"/>
  <c r="R303" i="41" s="1"/>
  <c r="AJ301" i="41"/>
  <c r="AJ303" i="41" s="1"/>
  <c r="AO333" i="41"/>
  <c r="AO335" i="41" s="1"/>
  <c r="AO337" i="41" s="1"/>
  <c r="AO393" i="41" s="1"/>
  <c r="W333" i="41"/>
  <c r="W335" i="41" s="1"/>
  <c r="W337" i="41" s="1"/>
  <c r="W393" i="41" s="1"/>
  <c r="AN333" i="41"/>
  <c r="AN335" i="41" s="1"/>
  <c r="AN337" i="41" s="1"/>
  <c r="AN393" i="41" s="1"/>
  <c r="AI301" i="41"/>
  <c r="AI303" i="41" s="1"/>
  <c r="AL333" i="41"/>
  <c r="AL335" i="41" s="1"/>
  <c r="AL337" i="41" s="1"/>
  <c r="AL393" i="41" s="1"/>
  <c r="AH301" i="41"/>
  <c r="AH303" i="41" s="1"/>
  <c r="L333" i="41"/>
  <c r="L335" i="41" s="1"/>
  <c r="L337" i="41" s="1"/>
  <c r="L393" i="41" s="1"/>
  <c r="K333" i="41"/>
  <c r="K335" i="41" s="1"/>
  <c r="K337" i="41" s="1"/>
  <c r="K393" i="41" s="1"/>
  <c r="AM333" i="41"/>
  <c r="AM335" i="41" s="1"/>
  <c r="AM337" i="41" s="1"/>
  <c r="AM393" i="41" s="1"/>
  <c r="R333" i="41"/>
  <c r="R335" i="41" s="1"/>
  <c r="R337" i="41" s="1"/>
  <c r="R393" i="41" s="1"/>
  <c r="W301" i="41"/>
  <c r="W303" i="41" s="1"/>
  <c r="AO301" i="41"/>
  <c r="AO303" i="41" s="1"/>
  <c r="AB301" i="41"/>
  <c r="AB303" i="41" s="1"/>
  <c r="AH333" i="41"/>
  <c r="AH335" i="41" s="1"/>
  <c r="AH337" i="41" s="1"/>
  <c r="AH393" i="41" s="1"/>
  <c r="AJ333" i="41"/>
  <c r="AJ335" i="41" s="1"/>
  <c r="AJ337" i="41" s="1"/>
  <c r="AJ393" i="41" s="1"/>
  <c r="Q301" i="41"/>
  <c r="Q303" i="41" s="1"/>
  <c r="L301" i="41"/>
  <c r="L303" i="41" s="1"/>
  <c r="AI333" i="41"/>
  <c r="AI335" i="41" s="1"/>
  <c r="AI337" i="41" s="1"/>
  <c r="AI393" i="41" s="1"/>
  <c r="Q333" i="41"/>
  <c r="Q335" i="41" s="1"/>
  <c r="Q337" i="41" s="1"/>
  <c r="Q393" i="41" s="1"/>
  <c r="K301" i="41"/>
  <c r="K303" i="41" s="1"/>
  <c r="AK301" i="41"/>
  <c r="AK303" i="41" s="1"/>
  <c r="M227" i="41"/>
  <c r="M229" i="41" s="1"/>
  <c r="M425" i="41" s="1"/>
  <c r="N227" i="41"/>
  <c r="N229" i="41" s="1"/>
  <c r="N425" i="41" s="1"/>
  <c r="Z227" i="41"/>
  <c r="Z229" i="41" s="1"/>
  <c r="Z425" i="41" s="1"/>
  <c r="M124" i="65"/>
  <c r="M153" i="65" s="1"/>
  <c r="M58" i="105" s="1"/>
  <c r="M98" i="105" s="1"/>
  <c r="AD41" i="82"/>
  <c r="AD142" i="65"/>
  <c r="AD171" i="65" s="1"/>
  <c r="AD76" i="105" s="1"/>
  <c r="AD196" i="105" s="1"/>
  <c r="AF41" i="82"/>
  <c r="AF142" i="65"/>
  <c r="AF171" i="65" s="1"/>
  <c r="AF76" i="105" s="1"/>
  <c r="AF196" i="105" s="1"/>
  <c r="AD227" i="41"/>
  <c r="AD229" i="41" s="1"/>
  <c r="AD425" i="41" s="1"/>
  <c r="T227" i="41"/>
  <c r="T229" i="41" s="1"/>
  <c r="T425" i="41" s="1"/>
  <c r="J227" i="41"/>
  <c r="J229" i="41" s="1"/>
  <c r="J425" i="41" s="1"/>
  <c r="J416" i="41"/>
  <c r="J35" i="65" s="1"/>
  <c r="J113" i="65" s="1"/>
  <c r="J41" i="82" s="1"/>
  <c r="AF227" i="41"/>
  <c r="AF229" i="41" s="1"/>
  <c r="AF425" i="41" s="1"/>
  <c r="X227" i="41"/>
  <c r="X229" i="41" s="1"/>
  <c r="X425" i="41" s="1"/>
  <c r="X416" i="41"/>
  <c r="X35" i="65" s="1"/>
  <c r="X113" i="65" s="1"/>
  <c r="X142" i="65" s="1"/>
  <c r="X171" i="65" s="1"/>
  <c r="X76" i="105" s="1"/>
  <c r="P227" i="41"/>
  <c r="P229" i="41" s="1"/>
  <c r="P425" i="41" s="1"/>
  <c r="U227" i="41"/>
  <c r="U229" i="41" s="1"/>
  <c r="U425" i="41" s="1"/>
  <c r="U416" i="41"/>
  <c r="U35" i="65" s="1"/>
  <c r="U113" i="65" s="1"/>
  <c r="U41" i="82" s="1"/>
  <c r="AE227" i="41"/>
  <c r="AE229" i="41" s="1"/>
  <c r="AE425" i="41" s="1"/>
  <c r="AE416" i="41"/>
  <c r="AE35" i="65" s="1"/>
  <c r="AE113" i="65" s="1"/>
  <c r="AE41" i="82" s="1"/>
  <c r="Y227" i="41"/>
  <c r="Y229" i="41" s="1"/>
  <c r="Y425" i="41" s="1"/>
  <c r="AC227" i="41"/>
  <c r="AC229" i="41" s="1"/>
  <c r="AC425" i="41" s="1"/>
  <c r="S227" i="41"/>
  <c r="S229" i="41" s="1"/>
  <c r="S425" i="41" s="1"/>
  <c r="S416" i="41"/>
  <c r="S35" i="65" s="1"/>
  <c r="S113" i="65" s="1"/>
  <c r="S142" i="65" s="1"/>
  <c r="S171" i="65" s="1"/>
  <c r="S76" i="105" s="1"/>
  <c r="N124" i="65"/>
  <c r="N153" i="65" s="1"/>
  <c r="N58" i="105" s="1"/>
  <c r="N98" i="105" s="1"/>
  <c r="N142" i="65"/>
  <c r="N171" i="65" s="1"/>
  <c r="N76" i="105" s="1"/>
  <c r="N196" i="105" s="1"/>
  <c r="AA227" i="41"/>
  <c r="AA229" i="41" s="1"/>
  <c r="AA425" i="41" s="1"/>
  <c r="AA416" i="41"/>
  <c r="AA35" i="65" s="1"/>
  <c r="AA113" i="65" s="1"/>
  <c r="AA124" i="65" s="1"/>
  <c r="AA153" i="65" s="1"/>
  <c r="AA58" i="105" s="1"/>
  <c r="AA98" i="105" s="1"/>
  <c r="V227" i="41"/>
  <c r="V229" i="41" s="1"/>
  <c r="V425" i="41" s="1"/>
  <c r="V416" i="41"/>
  <c r="V35" i="65" s="1"/>
  <c r="V113" i="65" s="1"/>
  <c r="V133" i="65" s="1"/>
  <c r="V162" i="65" s="1"/>
  <c r="V67" i="105" s="1"/>
  <c r="V185" i="105" s="1"/>
  <c r="O227" i="41"/>
  <c r="O229" i="41" s="1"/>
  <c r="O425" i="41" s="1"/>
  <c r="Z41" i="82"/>
  <c r="Z142" i="65"/>
  <c r="Z171" i="65" s="1"/>
  <c r="Z76" i="105" s="1"/>
  <c r="Z196" i="105" s="1"/>
  <c r="AC41" i="82"/>
  <c r="AC142" i="65"/>
  <c r="AC171" i="65" s="1"/>
  <c r="AC76" i="105" s="1"/>
  <c r="AC196" i="105" s="1"/>
  <c r="P41" i="82"/>
  <c r="P124" i="65"/>
  <c r="P153" i="65" s="1"/>
  <c r="P58" i="105" s="1"/>
  <c r="P98" i="105" s="1"/>
  <c r="P142" i="65"/>
  <c r="P171" i="65" s="1"/>
  <c r="P76" i="105" s="1"/>
  <c r="P196" i="105" s="1"/>
  <c r="O41" i="82"/>
  <c r="O142" i="65"/>
  <c r="O171" i="65" s="1"/>
  <c r="O76" i="105" s="1"/>
  <c r="O196" i="105" s="1"/>
  <c r="O124" i="65"/>
  <c r="O153" i="65" s="1"/>
  <c r="O58" i="105" s="1"/>
  <c r="O98" i="105" s="1"/>
  <c r="N133" i="65"/>
  <c r="N162" i="65" s="1"/>
  <c r="N67" i="105" s="1"/>
  <c r="N185" i="105" s="1"/>
  <c r="P133" i="65"/>
  <c r="P162" i="65" s="1"/>
  <c r="P67" i="105" s="1"/>
  <c r="P185" i="105" s="1"/>
  <c r="M142" i="65"/>
  <c r="M171" i="65" s="1"/>
  <c r="M76" i="105" s="1"/>
  <c r="M196" i="105" s="1"/>
  <c r="O133" i="65"/>
  <c r="O162" i="65" s="1"/>
  <c r="O67" i="105" s="1"/>
  <c r="O185" i="105" s="1"/>
  <c r="Z124" i="65"/>
  <c r="Z153" i="65" s="1"/>
  <c r="Z58" i="105" s="1"/>
  <c r="Z98" i="105" s="1"/>
  <c r="AD124" i="65"/>
  <c r="AD153" i="65" s="1"/>
  <c r="AD58" i="105" s="1"/>
  <c r="AD98" i="105" s="1"/>
  <c r="AC124" i="65"/>
  <c r="AC153" i="65" s="1"/>
  <c r="AC58" i="105" s="1"/>
  <c r="AC98" i="105" s="1"/>
  <c r="AF124" i="65"/>
  <c r="AF153" i="65" s="1"/>
  <c r="AF58" i="105" s="1"/>
  <c r="AF98" i="105" s="1"/>
  <c r="M133" i="65"/>
  <c r="M162" i="65" s="1"/>
  <c r="M67" i="105" s="1"/>
  <c r="M185" i="105" s="1"/>
  <c r="AH116" i="105"/>
  <c r="T41" i="82"/>
  <c r="T133" i="65"/>
  <c r="T162" i="65" s="1"/>
  <c r="T67" i="105" s="1"/>
  <c r="T185" i="105" s="1"/>
  <c r="T124" i="65"/>
  <c r="T153" i="65" s="1"/>
  <c r="T58" i="105" s="1"/>
  <c r="T98" i="105" s="1"/>
  <c r="T142" i="65"/>
  <c r="T171" i="65" s="1"/>
  <c r="T76" i="105" s="1"/>
  <c r="T196" i="105" s="1"/>
  <c r="Y41" i="82"/>
  <c r="Y142" i="65"/>
  <c r="Y171" i="65" s="1"/>
  <c r="Y76" i="105" s="1"/>
  <c r="Y196" i="105" s="1"/>
  <c r="Y124" i="65"/>
  <c r="Y153" i="65" s="1"/>
  <c r="Y58" i="105" s="1"/>
  <c r="Y98" i="105" s="1"/>
  <c r="AH106" i="105"/>
  <c r="AI182" i="105"/>
  <c r="AI189" i="105" s="1"/>
  <c r="AI105" i="105"/>
  <c r="AI112" i="105" s="1"/>
  <c r="Q116" i="105"/>
  <c r="W121" i="65"/>
  <c r="W150" i="65" s="1"/>
  <c r="W55" i="105" s="1"/>
  <c r="W95" i="105" s="1"/>
  <c r="W38" i="82"/>
  <c r="L139" i="65"/>
  <c r="L168" i="65" s="1"/>
  <c r="L73" i="105" s="1"/>
  <c r="L38" i="82"/>
  <c r="Q115" i="105"/>
  <c r="AK121" i="65"/>
  <c r="AK150" i="65" s="1"/>
  <c r="AK55" i="105" s="1"/>
  <c r="AK95" i="105" s="1"/>
  <c r="AK102" i="105" s="1"/>
  <c r="R139" i="65"/>
  <c r="R168" i="65" s="1"/>
  <c r="R73" i="105" s="1"/>
  <c r="R38" i="82"/>
  <c r="Q105" i="105"/>
  <c r="AO95" i="105"/>
  <c r="AO102" i="105" s="1"/>
  <c r="AH117" i="105"/>
  <c r="AJ107" i="105"/>
  <c r="AM95" i="105"/>
  <c r="AM102" i="105" s="1"/>
  <c r="AH107" i="105"/>
  <c r="Q106" i="105"/>
  <c r="AJ117" i="105"/>
  <c r="L130" i="65"/>
  <c r="L159" i="65" s="1"/>
  <c r="L64" i="105" s="1"/>
  <c r="W139" i="65"/>
  <c r="W168" i="65" s="1"/>
  <c r="W73" i="105" s="1"/>
  <c r="AB139" i="65"/>
  <c r="AB168" i="65" s="1"/>
  <c r="AB73" i="105" s="1"/>
  <c r="L121" i="65"/>
  <c r="L150" i="65" s="1"/>
  <c r="L55" i="105" s="1"/>
  <c r="L95" i="105" s="1"/>
  <c r="AB121" i="65"/>
  <c r="AB150" i="65" s="1"/>
  <c r="AB55" i="105" s="1"/>
  <c r="AB95" i="105" s="1"/>
  <c r="R121" i="65"/>
  <c r="R150" i="65" s="1"/>
  <c r="R55" i="105" s="1"/>
  <c r="R95" i="105" s="1"/>
  <c r="R130" i="65"/>
  <c r="R159" i="65" s="1"/>
  <c r="R64" i="105" s="1"/>
  <c r="R182" i="105" s="1"/>
  <c r="AI139" i="65"/>
  <c r="AI168" i="65" s="1"/>
  <c r="AI73" i="105" s="1"/>
  <c r="AI193" i="105" s="1"/>
  <c r="AI200" i="105" s="1"/>
  <c r="AI121" i="65"/>
  <c r="AI150" i="65" s="1"/>
  <c r="AI55" i="105" s="1"/>
  <c r="AI95" i="105" s="1"/>
  <c r="AI102" i="105" s="1"/>
  <c r="AI174" i="105" s="1"/>
  <c r="AH139" i="65"/>
  <c r="AH168" i="65" s="1"/>
  <c r="AH73" i="105" s="1"/>
  <c r="AH193" i="105" s="1"/>
  <c r="AH200" i="105" s="1"/>
  <c r="AH130" i="65"/>
  <c r="AH159" i="65" s="1"/>
  <c r="AH64" i="105" s="1"/>
  <c r="AH182" i="105" s="1"/>
  <c r="AH189" i="105" s="1"/>
  <c r="AH121" i="65"/>
  <c r="AH150" i="65" s="1"/>
  <c r="AH55" i="105" s="1"/>
  <c r="AH95" i="105" s="1"/>
  <c r="AH102" i="105" s="1"/>
  <c r="AH174" i="105" s="1"/>
  <c r="AJ139" i="65"/>
  <c r="AJ168" i="65" s="1"/>
  <c r="AJ73" i="105" s="1"/>
  <c r="AJ193" i="105" s="1"/>
  <c r="AJ121" i="65"/>
  <c r="AJ150" i="65" s="1"/>
  <c r="AJ55" i="105" s="1"/>
  <c r="AJ95" i="105" s="1"/>
  <c r="AJ130" i="65"/>
  <c r="AJ159" i="65" s="1"/>
  <c r="AJ64" i="105" s="1"/>
  <c r="AJ182" i="105" s="1"/>
  <c r="AN139" i="65"/>
  <c r="AN168" i="65" s="1"/>
  <c r="AN73" i="105" s="1"/>
  <c r="AN193" i="105" s="1"/>
  <c r="AN200" i="105" s="1"/>
  <c r="AN121" i="65"/>
  <c r="AN150" i="65" s="1"/>
  <c r="AN55" i="105" s="1"/>
  <c r="AN95" i="105" s="1"/>
  <c r="AN102" i="105" s="1"/>
  <c r="AN174" i="105" s="1"/>
  <c r="Q141" i="65"/>
  <c r="Q170" i="65" s="1"/>
  <c r="Q75" i="105" s="1"/>
  <c r="Q195" i="105" s="1"/>
  <c r="Q200" i="105" s="1"/>
  <c r="Q123" i="65"/>
  <c r="Q152" i="65" s="1"/>
  <c r="Q57" i="105" s="1"/>
  <c r="Q132" i="65"/>
  <c r="Q161" i="65" s="1"/>
  <c r="Q66" i="105" s="1"/>
  <c r="Q184" i="105" s="1"/>
  <c r="Q189" i="105" s="1"/>
  <c r="AL121" i="65"/>
  <c r="AL150" i="65" s="1"/>
  <c r="AL55" i="105" s="1"/>
  <c r="AL95" i="105" s="1"/>
  <c r="AL102" i="105" s="1"/>
  <c r="AL174" i="105" s="1"/>
  <c r="AL139" i="65"/>
  <c r="AL168" i="65" s="1"/>
  <c r="AL73" i="105" s="1"/>
  <c r="AL193" i="105" s="1"/>
  <c r="AL200" i="105" s="1"/>
  <c r="W34" i="65"/>
  <c r="W112" i="65" s="1"/>
  <c r="W40" i="82" s="1"/>
  <c r="AB34" i="65"/>
  <c r="AB112" i="65" s="1"/>
  <c r="R34" i="65"/>
  <c r="R112" i="65" s="1"/>
  <c r="R40" i="82" s="1"/>
  <c r="L34" i="65"/>
  <c r="L112" i="65" s="1"/>
  <c r="R115" i="105" l="1"/>
  <c r="R193" i="105"/>
  <c r="AB115" i="105"/>
  <c r="AB193" i="105"/>
  <c r="L115" i="105"/>
  <c r="L193" i="105"/>
  <c r="W115" i="105"/>
  <c r="W193" i="105"/>
  <c r="L105" i="105"/>
  <c r="L182" i="105"/>
  <c r="AD118" i="105"/>
  <c r="U142" i="65"/>
  <c r="U171" i="65" s="1"/>
  <c r="U76" i="105" s="1"/>
  <c r="U196" i="105" s="1"/>
  <c r="N294" i="41"/>
  <c r="N296" i="41" s="1"/>
  <c r="N238" i="41"/>
  <c r="N250" i="41" s="1"/>
  <c r="N268" i="41" s="1"/>
  <c r="U124" i="65"/>
  <c r="U153" i="65" s="1"/>
  <c r="U58" i="105" s="1"/>
  <c r="U98" i="105" s="1"/>
  <c r="T238" i="41"/>
  <c r="T252" i="41" s="1"/>
  <c r="T270" i="41" s="1"/>
  <c r="T275" i="41" s="1"/>
  <c r="N118" i="105"/>
  <c r="X238" i="41"/>
  <c r="X252" i="41" s="1"/>
  <c r="X270" i="41" s="1"/>
  <c r="X275" i="41" s="1"/>
  <c r="Z238" i="41"/>
  <c r="Z250" i="41" s="1"/>
  <c r="Z268" i="41" s="1"/>
  <c r="J238" i="41"/>
  <c r="J250" i="41" s="1"/>
  <c r="J268" i="41" s="1"/>
  <c r="J273" i="41" s="1"/>
  <c r="J278" i="41" s="1"/>
  <c r="J283" i="41" s="1"/>
  <c r="AC238" i="41"/>
  <c r="AC252" i="41" s="1"/>
  <c r="AC270" i="41" s="1"/>
  <c r="AD238" i="41"/>
  <c r="AD252" i="41" s="1"/>
  <c r="AD270" i="41" s="1"/>
  <c r="AE238" i="41"/>
  <c r="AE252" i="41" s="1"/>
  <c r="AE270" i="41" s="1"/>
  <c r="T294" i="41"/>
  <c r="T296" i="41" s="1"/>
  <c r="M238" i="41"/>
  <c r="M252" i="41" s="1"/>
  <c r="M270" i="41" s="1"/>
  <c r="M275" i="41" s="1"/>
  <c r="M280" i="41" s="1"/>
  <c r="M285" i="41" s="1"/>
  <c r="M363" i="41" s="1"/>
  <c r="M365" i="41" s="1"/>
  <c r="M367" i="41" s="1"/>
  <c r="T118" i="105"/>
  <c r="N108" i="105"/>
  <c r="Z118" i="105"/>
  <c r="O238" i="41"/>
  <c r="O252" i="41" s="1"/>
  <c r="O270" i="41" s="1"/>
  <c r="Y294" i="41"/>
  <c r="Y296" i="41" s="1"/>
  <c r="V294" i="41"/>
  <c r="V296" i="41" s="1"/>
  <c r="AF294" i="41"/>
  <c r="AF296" i="41" s="1"/>
  <c r="V238" i="41"/>
  <c r="V251" i="41" s="1"/>
  <c r="V269" i="41" s="1"/>
  <c r="O108" i="105"/>
  <c r="Y238" i="41"/>
  <c r="Y252" i="41" s="1"/>
  <c r="Y270" i="41" s="1"/>
  <c r="Y275" i="41" s="1"/>
  <c r="AD294" i="41"/>
  <c r="AD296" i="41" s="1"/>
  <c r="M294" i="41"/>
  <c r="M296" i="41" s="1"/>
  <c r="AF238" i="41"/>
  <c r="AF252" i="41" s="1"/>
  <c r="AF270" i="41" s="1"/>
  <c r="AF275" i="41" s="1"/>
  <c r="AF280" i="41" s="1"/>
  <c r="AF285" i="41" s="1"/>
  <c r="AF363" i="41" s="1"/>
  <c r="AF365" i="41" s="1"/>
  <c r="AF367" i="41" s="1"/>
  <c r="S294" i="41"/>
  <c r="S296" i="41" s="1"/>
  <c r="U294" i="41"/>
  <c r="U296" i="41" s="1"/>
  <c r="S196" i="105"/>
  <c r="S118" i="105"/>
  <c r="AA142" i="65"/>
  <c r="AA171" i="65" s="1"/>
  <c r="AA76" i="105" s="1"/>
  <c r="AA196" i="105" s="1"/>
  <c r="U133" i="65"/>
  <c r="U162" i="65" s="1"/>
  <c r="U67" i="105" s="1"/>
  <c r="U185" i="105" s="1"/>
  <c r="AC118" i="105"/>
  <c r="AC294" i="41"/>
  <c r="AC296" i="41" s="1"/>
  <c r="P294" i="41"/>
  <c r="P296" i="41" s="1"/>
  <c r="X294" i="41"/>
  <c r="X296" i="41" s="1"/>
  <c r="Z294" i="41"/>
  <c r="Z296" i="41" s="1"/>
  <c r="Y118" i="105"/>
  <c r="U238" i="41"/>
  <c r="U252" i="41" s="1"/>
  <c r="U270" i="41" s="1"/>
  <c r="X196" i="105"/>
  <c r="X118" i="105"/>
  <c r="J142" i="65"/>
  <c r="J171" i="65" s="1"/>
  <c r="J76" i="105" s="1"/>
  <c r="J196" i="105" s="1"/>
  <c r="V108" i="105"/>
  <c r="P118" i="105"/>
  <c r="M108" i="105"/>
  <c r="AA41" i="82"/>
  <c r="AA294" i="41"/>
  <c r="AA296" i="41" s="1"/>
  <c r="S238" i="41"/>
  <c r="S250" i="41" s="1"/>
  <c r="S268" i="41" s="1"/>
  <c r="S273" i="41" s="1"/>
  <c r="AE142" i="65"/>
  <c r="AE171" i="65" s="1"/>
  <c r="AE76" i="105" s="1"/>
  <c r="V41" i="82"/>
  <c r="V124" i="65"/>
  <c r="V153" i="65" s="1"/>
  <c r="V58" i="105" s="1"/>
  <c r="V98" i="105" s="1"/>
  <c r="V142" i="65"/>
  <c r="V171" i="65" s="1"/>
  <c r="V76" i="105" s="1"/>
  <c r="S41" i="82"/>
  <c r="S124" i="65"/>
  <c r="S153" i="65" s="1"/>
  <c r="S58" i="105" s="1"/>
  <c r="S98" i="105" s="1"/>
  <c r="J124" i="65"/>
  <c r="J153" i="65" s="1"/>
  <c r="J58" i="105" s="1"/>
  <c r="J98" i="105" s="1"/>
  <c r="S133" i="65"/>
  <c r="S162" i="65" s="1"/>
  <c r="S67" i="105" s="1"/>
  <c r="P238" i="41"/>
  <c r="P252" i="41" s="1"/>
  <c r="P270" i="41" s="1"/>
  <c r="H231" i="41"/>
  <c r="X41" i="82"/>
  <c r="X124" i="65"/>
  <c r="X153" i="65" s="1"/>
  <c r="X58" i="105" s="1"/>
  <c r="X98" i="105" s="1"/>
  <c r="H425" i="41"/>
  <c r="J133" i="65"/>
  <c r="J162" i="65" s="1"/>
  <c r="J67" i="105" s="1"/>
  <c r="J185" i="105" s="1"/>
  <c r="P108" i="105"/>
  <c r="O118" i="105"/>
  <c r="T108" i="105"/>
  <c r="AF118" i="105"/>
  <c r="AE124" i="65"/>
  <c r="AE153" i="65" s="1"/>
  <c r="AE58" i="105" s="1"/>
  <c r="AE98" i="105" s="1"/>
  <c r="O294" i="41"/>
  <c r="O296" i="41" s="1"/>
  <c r="AA238" i="41"/>
  <c r="AA252" i="41" s="1"/>
  <c r="AA270" i="41" s="1"/>
  <c r="AA275" i="41" s="1"/>
  <c r="AE294" i="41"/>
  <c r="AE296" i="41" s="1"/>
  <c r="J294" i="41"/>
  <c r="J296" i="41" s="1"/>
  <c r="M118" i="105"/>
  <c r="L123" i="65"/>
  <c r="L152" i="65" s="1"/>
  <c r="L57" i="105" s="1"/>
  <c r="L97" i="105" s="1"/>
  <c r="L102" i="105" s="1"/>
  <c r="L40" i="82"/>
  <c r="AB141" i="65"/>
  <c r="AB170" i="65" s="1"/>
  <c r="AB75" i="105" s="1"/>
  <c r="AB40" i="82"/>
  <c r="AN146" i="105"/>
  <c r="AL69" i="82" s="1"/>
  <c r="AL71" i="82"/>
  <c r="AN140" i="105"/>
  <c r="AI140" i="105"/>
  <c r="AI146" i="105"/>
  <c r="AI69" i="82" s="1"/>
  <c r="AI71" i="82"/>
  <c r="AL140" i="105"/>
  <c r="AL146" i="105"/>
  <c r="AK69" i="82" s="1"/>
  <c r="AK71" i="82"/>
  <c r="AH140" i="105"/>
  <c r="AH146" i="105"/>
  <c r="AH69" i="82" s="1"/>
  <c r="AH71" i="82"/>
  <c r="Q107" i="105"/>
  <c r="Q112" i="105" s="1"/>
  <c r="AL115" i="105"/>
  <c r="AL122" i="105" s="1"/>
  <c r="Q117" i="105"/>
  <c r="Q122" i="105" s="1"/>
  <c r="Q148" i="105" s="1"/>
  <c r="AN115" i="105"/>
  <c r="AN122" i="105" s="1"/>
  <c r="AJ115" i="105"/>
  <c r="R105" i="105"/>
  <c r="AJ105" i="105"/>
  <c r="AI115" i="105"/>
  <c r="AI122" i="105" s="1"/>
  <c r="AH105" i="105"/>
  <c r="AH112" i="105" s="1"/>
  <c r="Q97" i="105"/>
  <c r="Q102" i="105" s="1"/>
  <c r="Q174" i="105" s="1"/>
  <c r="AH115" i="105"/>
  <c r="AH122" i="105" s="1"/>
  <c r="AG34" i="65"/>
  <c r="AG112" i="65" s="1"/>
  <c r="AG40" i="82" s="1"/>
  <c r="R141" i="65"/>
  <c r="R170" i="65" s="1"/>
  <c r="R75" i="105" s="1"/>
  <c r="R123" i="65"/>
  <c r="R152" i="65" s="1"/>
  <c r="R57" i="105" s="1"/>
  <c r="R97" i="105" s="1"/>
  <c r="L141" i="65"/>
  <c r="L170" i="65" s="1"/>
  <c r="L75" i="105" s="1"/>
  <c r="W123" i="65"/>
  <c r="W152" i="65" s="1"/>
  <c r="W57" i="105" s="1"/>
  <c r="W141" i="65"/>
  <c r="W170" i="65" s="1"/>
  <c r="W75" i="105" s="1"/>
  <c r="R132" i="65"/>
  <c r="R161" i="65" s="1"/>
  <c r="R66" i="105" s="1"/>
  <c r="R184" i="105" s="1"/>
  <c r="AB123" i="65"/>
  <c r="AB152" i="65" s="1"/>
  <c r="AB57" i="105" s="1"/>
  <c r="L132" i="65"/>
  <c r="L161" i="65" s="1"/>
  <c r="L66" i="105" s="1"/>
  <c r="AI148" i="105" l="1"/>
  <c r="AI142" i="105"/>
  <c r="AN148" i="105"/>
  <c r="AN142" i="105"/>
  <c r="AH148" i="105"/>
  <c r="AH142" i="105"/>
  <c r="AH147" i="105"/>
  <c r="AH141" i="105"/>
  <c r="Q147" i="105"/>
  <c r="Q141" i="105"/>
  <c r="AB117" i="105"/>
  <c r="AB122" i="105" s="1"/>
  <c r="AB195" i="105"/>
  <c r="AB200" i="105" s="1"/>
  <c r="L140" i="105"/>
  <c r="L174" i="105"/>
  <c r="L71" i="82" s="1"/>
  <c r="L146" i="105"/>
  <c r="L69" i="82" s="1"/>
  <c r="W117" i="105"/>
  <c r="W122" i="105" s="1"/>
  <c r="W195" i="105"/>
  <c r="W200" i="105" s="1"/>
  <c r="L107" i="105"/>
  <c r="L112" i="105" s="1"/>
  <c r="L184" i="105"/>
  <c r="L189" i="105" s="1"/>
  <c r="L117" i="105"/>
  <c r="L122" i="105" s="1"/>
  <c r="L195" i="105"/>
  <c r="L200" i="105" s="1"/>
  <c r="R117" i="105"/>
  <c r="R195" i="105"/>
  <c r="U118" i="105"/>
  <c r="T250" i="41"/>
  <c r="T268" i="41" s="1"/>
  <c r="T273" i="41" s="1"/>
  <c r="T251" i="41"/>
  <c r="T269" i="41" s="1"/>
  <c r="T274" i="41" s="1"/>
  <c r="X250" i="41"/>
  <c r="X268" i="41" s="1"/>
  <c r="N251" i="41"/>
  <c r="N269" i="41" s="1"/>
  <c r="N252" i="41"/>
  <c r="N270" i="41" s="1"/>
  <c r="N275" i="41" s="1"/>
  <c r="N280" i="41" s="1"/>
  <c r="N285" i="41" s="1"/>
  <c r="N363" i="41" s="1"/>
  <c r="N365" i="41" s="1"/>
  <c r="N367" i="41" s="1"/>
  <c r="AC250" i="41"/>
  <c r="AC268" i="41" s="1"/>
  <c r="AC273" i="41" s="1"/>
  <c r="AC278" i="41" s="1"/>
  <c r="AC283" i="41" s="1"/>
  <c r="J251" i="41"/>
  <c r="J269" i="41" s="1"/>
  <c r="J274" i="41" s="1"/>
  <c r="J279" i="41" s="1"/>
  <c r="J284" i="41" s="1"/>
  <c r="J252" i="41"/>
  <c r="J270" i="41" s="1"/>
  <c r="U108" i="105"/>
  <c r="AC251" i="41"/>
  <c r="AC269" i="41" s="1"/>
  <c r="AC274" i="41" s="1"/>
  <c r="AC279" i="41" s="1"/>
  <c r="AC284" i="41" s="1"/>
  <c r="M250" i="41"/>
  <c r="M268" i="41" s="1"/>
  <c r="M273" i="41" s="1"/>
  <c r="M278" i="41" s="1"/>
  <c r="M283" i="41" s="1"/>
  <c r="M251" i="41"/>
  <c r="M269" i="41" s="1"/>
  <c r="M274" i="41" s="1"/>
  <c r="M279" i="41" s="1"/>
  <c r="M284" i="41" s="1"/>
  <c r="M331" i="41" s="1"/>
  <c r="M333" i="41" s="1"/>
  <c r="M335" i="41" s="1"/>
  <c r="X251" i="41"/>
  <c r="X269" i="41" s="1"/>
  <c r="X274" i="41" s="1"/>
  <c r="S251" i="41"/>
  <c r="S269" i="41" s="1"/>
  <c r="S274" i="41" s="1"/>
  <c r="AE250" i="41"/>
  <c r="AE268" i="41" s="1"/>
  <c r="AE273" i="41" s="1"/>
  <c r="AE278" i="41" s="1"/>
  <c r="AE283" i="41" s="1"/>
  <c r="AF250" i="41"/>
  <c r="AF268" i="41" s="1"/>
  <c r="AF273" i="41" s="1"/>
  <c r="AF278" i="41" s="1"/>
  <c r="AF283" i="41" s="1"/>
  <c r="Z251" i="41"/>
  <c r="Z269" i="41" s="1"/>
  <c r="Z274" i="41" s="1"/>
  <c r="AE251" i="41"/>
  <c r="AE269" i="41" s="1"/>
  <c r="AE274" i="41" s="1"/>
  <c r="AE279" i="41" s="1"/>
  <c r="AE284" i="41" s="1"/>
  <c r="AF251" i="41"/>
  <c r="AF269" i="41" s="1"/>
  <c r="AF274" i="41" s="1"/>
  <c r="AF279" i="41" s="1"/>
  <c r="AF284" i="41" s="1"/>
  <c r="AF331" i="41" s="1"/>
  <c r="AF333" i="41" s="1"/>
  <c r="AF335" i="41" s="1"/>
  <c r="Z252" i="41"/>
  <c r="Z270" i="41" s="1"/>
  <c r="Z275" i="41" s="1"/>
  <c r="Y250" i="41"/>
  <c r="Y268" i="41" s="1"/>
  <c r="Y273" i="41" s="1"/>
  <c r="U250" i="41"/>
  <c r="U268" i="41" s="1"/>
  <c r="U273" i="41" s="1"/>
  <c r="Y251" i="41"/>
  <c r="Y269" i="41" s="1"/>
  <c r="Y274" i="41" s="1"/>
  <c r="U251" i="41"/>
  <c r="U269" i="41" s="1"/>
  <c r="U274" i="41" s="1"/>
  <c r="AD250" i="41"/>
  <c r="AD268" i="41" s="1"/>
  <c r="AD273" i="41" s="1"/>
  <c r="AD278" i="41" s="1"/>
  <c r="AD283" i="41" s="1"/>
  <c r="AD251" i="41"/>
  <c r="AD269" i="41" s="1"/>
  <c r="AD274" i="41" s="1"/>
  <c r="AD279" i="41" s="1"/>
  <c r="AD284" i="41" s="1"/>
  <c r="AK68" i="82"/>
  <c r="AL207" i="105"/>
  <c r="AK80" i="82" s="1"/>
  <c r="AI68" i="82"/>
  <c r="AI207" i="105"/>
  <c r="AI80" i="82" s="1"/>
  <c r="AL68" i="82"/>
  <c r="AN207" i="105"/>
  <c r="AL80" i="82" s="1"/>
  <c r="AH68" i="82"/>
  <c r="AH206" i="105"/>
  <c r="AH79" i="82" s="1"/>
  <c r="AH207" i="105"/>
  <c r="AH80" i="82" s="1"/>
  <c r="V252" i="41"/>
  <c r="V270" i="41" s="1"/>
  <c r="V275" i="41" s="1"/>
  <c r="AA250" i="41"/>
  <c r="AA268" i="41" s="1"/>
  <c r="AA273" i="41" s="1"/>
  <c r="O250" i="41"/>
  <c r="O268" i="41" s="1"/>
  <c r="O273" i="41" s="1"/>
  <c r="O278" i="41" s="1"/>
  <c r="O283" i="41" s="1"/>
  <c r="O251" i="41"/>
  <c r="O269" i="41" s="1"/>
  <c r="O274" i="41" s="1"/>
  <c r="O279" i="41" s="1"/>
  <c r="O284" i="41" s="1"/>
  <c r="V250" i="41"/>
  <c r="V268" i="41" s="1"/>
  <c r="V273" i="41" s="1"/>
  <c r="AA118" i="105"/>
  <c r="S252" i="41"/>
  <c r="S270" i="41" s="1"/>
  <c r="S275" i="41" s="1"/>
  <c r="P250" i="41"/>
  <c r="P268" i="41" s="1"/>
  <c r="P273" i="41" s="1"/>
  <c r="P278" i="41" s="1"/>
  <c r="P283" i="41" s="1"/>
  <c r="H98" i="105"/>
  <c r="AA251" i="41"/>
  <c r="AA269" i="41" s="1"/>
  <c r="AA274" i="41" s="1"/>
  <c r="S185" i="105"/>
  <c r="S108" i="105"/>
  <c r="AE196" i="105"/>
  <c r="AE118" i="105"/>
  <c r="J118" i="105"/>
  <c r="P251" i="41"/>
  <c r="P269" i="41" s="1"/>
  <c r="P274" i="41" s="1"/>
  <c r="P279" i="41" s="1"/>
  <c r="P284" i="41" s="1"/>
  <c r="P275" i="41"/>
  <c r="P280" i="41" s="1"/>
  <c r="P285" i="41" s="1"/>
  <c r="P363" i="41" s="1"/>
  <c r="P365" i="41" s="1"/>
  <c r="P367" i="41" s="1"/>
  <c r="J108" i="105"/>
  <c r="V196" i="105"/>
  <c r="V118" i="105"/>
  <c r="X273" i="41"/>
  <c r="X278" i="41" s="1"/>
  <c r="X283" i="41" s="1"/>
  <c r="AD275" i="41"/>
  <c r="AD280" i="41" s="1"/>
  <c r="AD285" i="41" s="1"/>
  <c r="AD363" i="41" s="1"/>
  <c r="AD365" i="41" s="1"/>
  <c r="AD367" i="41" s="1"/>
  <c r="V274" i="41"/>
  <c r="AC275" i="41"/>
  <c r="AC280" i="41" s="1"/>
  <c r="AC285" i="41" s="1"/>
  <c r="AC363" i="41" s="1"/>
  <c r="AC365" i="41" s="1"/>
  <c r="AC367" i="41" s="1"/>
  <c r="Z273" i="41"/>
  <c r="AE275" i="41"/>
  <c r="AE280" i="41" s="1"/>
  <c r="AE285" i="41" s="1"/>
  <c r="AE363" i="41" s="1"/>
  <c r="AE365" i="41" s="1"/>
  <c r="AE367" i="41" s="1"/>
  <c r="O275" i="41"/>
  <c r="O280" i="41" s="1"/>
  <c r="O285" i="41" s="1"/>
  <c r="O363" i="41" s="1"/>
  <c r="O365" i="41" s="1"/>
  <c r="O367" i="41" s="1"/>
  <c r="U275" i="41"/>
  <c r="N273" i="41"/>
  <c r="N278" i="41" s="1"/>
  <c r="N283" i="41" s="1"/>
  <c r="Y280" i="41"/>
  <c r="Y285" i="41" s="1"/>
  <c r="Y363" i="41" s="1"/>
  <c r="T280" i="41"/>
  <c r="T285" i="41" s="1"/>
  <c r="T363" i="41" s="1"/>
  <c r="N274" i="41"/>
  <c r="N279" i="41" s="1"/>
  <c r="N284" i="41" s="1"/>
  <c r="Q146" i="105"/>
  <c r="Q69" i="82" s="1"/>
  <c r="Q140" i="105"/>
  <c r="Q71" i="82"/>
  <c r="R107" i="105"/>
  <c r="W97" i="105"/>
  <c r="W102" i="105" s="1"/>
  <c r="AB97" i="105"/>
  <c r="AB102" i="105" s="1"/>
  <c r="AG123" i="65"/>
  <c r="AG152" i="65" s="1"/>
  <c r="AG57" i="105" s="1"/>
  <c r="AG97" i="105" s="1"/>
  <c r="AG141" i="65"/>
  <c r="AG170" i="65" s="1"/>
  <c r="AG75" i="105" s="1"/>
  <c r="AG195" i="105" s="1"/>
  <c r="AG132" i="65"/>
  <c r="AG161" i="65" s="1"/>
  <c r="AG66" i="105" s="1"/>
  <c r="AG184" i="105" s="1"/>
  <c r="S278" i="41" l="1"/>
  <c r="S283" i="41" s="1"/>
  <c r="Z279" i="41"/>
  <c r="Z284" i="41" s="1"/>
  <c r="S279" i="41"/>
  <c r="S284" i="41" s="1"/>
  <c r="M299" i="41"/>
  <c r="M301" i="41" s="1"/>
  <c r="M303" i="41" s="1"/>
  <c r="M305" i="41" s="1"/>
  <c r="M392" i="41" s="1"/>
  <c r="N331" i="41"/>
  <c r="N333" i="41" s="1"/>
  <c r="N335" i="41" s="1"/>
  <c r="AB148" i="105"/>
  <c r="AB142" i="105"/>
  <c r="L147" i="105"/>
  <c r="L141" i="105"/>
  <c r="W148" i="105"/>
  <c r="W142" i="105"/>
  <c r="AB140" i="105"/>
  <c r="AB146" i="105"/>
  <c r="AB69" i="82" s="1"/>
  <c r="AB174" i="105"/>
  <c r="AB71" i="82" s="1"/>
  <c r="W174" i="105"/>
  <c r="W71" i="82" s="1"/>
  <c r="W146" i="105"/>
  <c r="W69" i="82" s="1"/>
  <c r="W140" i="105"/>
  <c r="L207" i="105"/>
  <c r="L80" i="82" s="1"/>
  <c r="L206" i="105"/>
  <c r="L79" i="82" s="1"/>
  <c r="L68" i="82"/>
  <c r="L148" i="105"/>
  <c r="L142" i="105"/>
  <c r="Y279" i="41"/>
  <c r="Y284" i="41" s="1"/>
  <c r="Y331" i="41" s="1"/>
  <c r="U278" i="41"/>
  <c r="U283" i="41" s="1"/>
  <c r="X279" i="41"/>
  <c r="X284" i="41" s="1"/>
  <c r="AF299" i="41"/>
  <c r="AF301" i="41" s="1"/>
  <c r="AF303" i="41" s="1"/>
  <c r="AF305" i="41" s="1"/>
  <c r="U279" i="41"/>
  <c r="U284" i="41" s="1"/>
  <c r="AD258" i="41" a="1"/>
  <c r="AD258" i="41" s="1"/>
  <c r="AD263" i="41" s="1"/>
  <c r="AD322" i="41" s="1"/>
  <c r="AD324" i="41" s="1"/>
  <c r="AD326" i="41" s="1"/>
  <c r="AD328" i="41" s="1"/>
  <c r="O331" i="41"/>
  <c r="O333" i="41" s="1"/>
  <c r="O335" i="41" s="1"/>
  <c r="AE331" i="41"/>
  <c r="AE333" i="41" s="1"/>
  <c r="AE335" i="41" s="1"/>
  <c r="AD259" i="41" a="1"/>
  <c r="AD259" i="41" s="1"/>
  <c r="AD264" i="41" s="1"/>
  <c r="AJ259" i="41" a="1"/>
  <c r="AJ259" i="41" s="1"/>
  <c r="AJ264" i="41" s="1"/>
  <c r="AJ400" i="41" s="1"/>
  <c r="AC258" i="41" a="1"/>
  <c r="AC258" i="41" s="1"/>
  <c r="AC263" i="41" s="1"/>
  <c r="AC322" i="41" s="1"/>
  <c r="AC324" i="41" s="1"/>
  <c r="AC326" i="41" s="1"/>
  <c r="AC328" i="41" s="1"/>
  <c r="T279" i="41"/>
  <c r="T284" i="41" s="1"/>
  <c r="T331" i="41" s="1"/>
  <c r="AA278" i="41"/>
  <c r="AA283" i="41" s="1"/>
  <c r="AD260" i="41" a="1"/>
  <c r="AD260" i="41" s="1"/>
  <c r="AD265" i="41" s="1"/>
  <c r="J260" i="41" a="1"/>
  <c r="J260" i="41" s="1"/>
  <c r="J265" i="41" s="1"/>
  <c r="AH260" i="41" a="1"/>
  <c r="AH260" i="41" s="1"/>
  <c r="AH265" i="41" s="1"/>
  <c r="AH401" i="41" s="1"/>
  <c r="L260" i="41" a="1"/>
  <c r="L260" i="41" s="1"/>
  <c r="L265" i="41" s="1"/>
  <c r="L401" i="41" s="1"/>
  <c r="T260" i="41" a="1"/>
  <c r="T260" i="41" s="1"/>
  <c r="T265" i="41" s="1"/>
  <c r="S260" i="41" a="1"/>
  <c r="S260" i="41" s="1"/>
  <c r="S265" i="41" s="1"/>
  <c r="Z260" i="41" a="1"/>
  <c r="Z260" i="41" s="1"/>
  <c r="Z265" i="41" s="1"/>
  <c r="AI260" i="41" a="1"/>
  <c r="AI260" i="41" s="1"/>
  <c r="AI265" i="41" s="1"/>
  <c r="AI401" i="41" s="1"/>
  <c r="AB260" i="41" a="1"/>
  <c r="AB260" i="41" s="1"/>
  <c r="AB265" i="41" s="1"/>
  <c r="AB401" i="41" s="1"/>
  <c r="R258" i="41" a="1"/>
  <c r="R258" i="41" s="1"/>
  <c r="R263" i="41" s="1"/>
  <c r="R322" i="41" s="1"/>
  <c r="R324" i="41" s="1"/>
  <c r="K260" i="41" a="1"/>
  <c r="K260" i="41" s="1"/>
  <c r="K265" i="41" s="1"/>
  <c r="K401" i="41" s="1"/>
  <c r="AG260" i="41" a="1"/>
  <c r="AG260" i="41" s="1"/>
  <c r="AG265" i="41" s="1"/>
  <c r="AG310" i="41" s="1"/>
  <c r="V260" i="41" a="1"/>
  <c r="V260" i="41" s="1"/>
  <c r="V265" i="41" s="1"/>
  <c r="AN260" i="41" a="1"/>
  <c r="AN260" i="41" s="1"/>
  <c r="AN265" i="41" s="1"/>
  <c r="AN401" i="41" s="1"/>
  <c r="AJ260" i="41" a="1"/>
  <c r="AJ260" i="41" s="1"/>
  <c r="AJ265" i="41" s="1"/>
  <c r="AJ401" i="41" s="1"/>
  <c r="AN258" i="41" a="1"/>
  <c r="AN258" i="41" s="1"/>
  <c r="AN263" i="41" s="1"/>
  <c r="W260" i="41" a="1"/>
  <c r="W260" i="41" s="1"/>
  <c r="W265" i="41" s="1"/>
  <c r="W401" i="41" s="1"/>
  <c r="AF260" i="41" a="1"/>
  <c r="AF260" i="41" s="1"/>
  <c r="AF265" i="41" s="1"/>
  <c r="Y260" i="41" a="1"/>
  <c r="Y260" i="41" s="1"/>
  <c r="Y265" i="41" s="1"/>
  <c r="Q260" i="41" a="1"/>
  <c r="Q260" i="41" s="1"/>
  <c r="Q265" i="41" s="1"/>
  <c r="Q401" i="41" s="1"/>
  <c r="AM260" i="41" a="1"/>
  <c r="AM260" i="41" s="1"/>
  <c r="AM265" i="41" s="1"/>
  <c r="AM401" i="41" s="1"/>
  <c r="AH258" i="41" a="1"/>
  <c r="AH258" i="41" s="1"/>
  <c r="AH263" i="41" s="1"/>
  <c r="AH322" i="41" s="1"/>
  <c r="AH324" i="41" s="1"/>
  <c r="X260" i="41" a="1"/>
  <c r="X260" i="41" s="1"/>
  <c r="X265" i="41" s="1"/>
  <c r="AA260" i="41" a="1"/>
  <c r="AA260" i="41" s="1"/>
  <c r="AA265" i="41" s="1"/>
  <c r="N260" i="41" a="1"/>
  <c r="N260" i="41" s="1"/>
  <c r="N265" i="41" s="1"/>
  <c r="U260" i="41" a="1"/>
  <c r="U260" i="41" s="1"/>
  <c r="U265" i="41" s="1"/>
  <c r="AL260" i="41" a="1"/>
  <c r="AL260" i="41" s="1"/>
  <c r="AL265" i="41" s="1"/>
  <c r="AL401" i="41" s="1"/>
  <c r="AJ258" i="41" a="1"/>
  <c r="AJ258" i="41" s="1"/>
  <c r="AJ263" i="41" s="1"/>
  <c r="P260" i="41" a="1"/>
  <c r="P260" i="41" s="1"/>
  <c r="P265" i="41" s="1"/>
  <c r="M260" i="41" a="1"/>
  <c r="M260" i="41" s="1"/>
  <c r="M265" i="41" s="1"/>
  <c r="AE260" i="41" a="1"/>
  <c r="AE260" i="41" s="1"/>
  <c r="AE265" i="41" s="1"/>
  <c r="AO260" i="41" a="1"/>
  <c r="AO260" i="41" s="1"/>
  <c r="AO265" i="41" s="1"/>
  <c r="AO401" i="41" s="1"/>
  <c r="N258" i="41" a="1"/>
  <c r="N258" i="41" s="1"/>
  <c r="N263" i="41" s="1"/>
  <c r="N322" i="41" s="1"/>
  <c r="N324" i="41" s="1"/>
  <c r="N326" i="41" s="1"/>
  <c r="N328" i="41" s="1"/>
  <c r="AC260" i="41" a="1"/>
  <c r="AC260" i="41" s="1"/>
  <c r="AC265" i="41" s="1"/>
  <c r="O260" i="41" a="1"/>
  <c r="O260" i="41" s="1"/>
  <c r="O265" i="41" s="1"/>
  <c r="R260" i="41" a="1"/>
  <c r="R260" i="41" s="1"/>
  <c r="R265" i="41" s="1"/>
  <c r="R401" i="41" s="1"/>
  <c r="AK260" i="41" a="1"/>
  <c r="AK260" i="41" s="1"/>
  <c r="AK265" i="41" s="1"/>
  <c r="AK401" i="41" s="1"/>
  <c r="Y258" i="41" a="1"/>
  <c r="Y258" i="41" s="1"/>
  <c r="Y263" i="41" s="1"/>
  <c r="Q68" i="82"/>
  <c r="Q206" i="105"/>
  <c r="Q79" i="82" s="1"/>
  <c r="Q207" i="105"/>
  <c r="Q80" i="82" s="1"/>
  <c r="O299" i="41"/>
  <c r="O301" i="41" s="1"/>
  <c r="O303" i="41" s="1"/>
  <c r="O305" i="41" s="1"/>
  <c r="O392" i="41" s="1"/>
  <c r="S259" i="41" a="1"/>
  <c r="S259" i="41" s="1"/>
  <c r="S264" i="41" s="1"/>
  <c r="R259" i="41" a="1"/>
  <c r="R259" i="41" s="1"/>
  <c r="R264" i="41" s="1"/>
  <c r="R400" i="41" s="1"/>
  <c r="M258" i="41" a="1"/>
  <c r="M258" i="41" s="1"/>
  <c r="M263" i="41" s="1"/>
  <c r="M308" i="41" s="1"/>
  <c r="J258" i="41" a="1"/>
  <c r="J258" i="41" s="1"/>
  <c r="J263" i="41" s="1"/>
  <c r="J322" i="41" s="1"/>
  <c r="J324" i="41" s="1"/>
  <c r="J326" i="41" s="1"/>
  <c r="J328" i="41" s="1"/>
  <c r="Z258" i="41" a="1"/>
  <c r="Z258" i="41" s="1"/>
  <c r="Z263" i="41" s="1"/>
  <c r="AG258" i="41" a="1"/>
  <c r="AG258" i="41" s="1"/>
  <c r="AG263" i="41" s="1"/>
  <c r="AG322" i="41" s="1"/>
  <c r="AG324" i="41" s="1"/>
  <c r="AG326" i="41" s="1"/>
  <c r="AG328" i="41" s="1"/>
  <c r="AK258" i="41" a="1"/>
  <c r="AK258" i="41" s="1"/>
  <c r="AK263" i="41" s="1"/>
  <c r="AK399" i="41" s="1"/>
  <c r="Q258" i="41" a="1"/>
  <c r="Q258" i="41" s="1"/>
  <c r="Q263" i="41" s="1"/>
  <c r="Q399" i="41" s="1"/>
  <c r="L258" i="41" a="1"/>
  <c r="L258" i="41" s="1"/>
  <c r="L263" i="41" s="1"/>
  <c r="L322" i="41" s="1"/>
  <c r="L324" i="41" s="1"/>
  <c r="AM258" i="41" a="1"/>
  <c r="AM258" i="41" s="1"/>
  <c r="AM263" i="41" s="1"/>
  <c r="AM399" i="41" s="1"/>
  <c r="N259" i="41" a="1"/>
  <c r="N259" i="41" s="1"/>
  <c r="N264" i="41" s="1"/>
  <c r="AI259" i="41" a="1"/>
  <c r="AI259" i="41" s="1"/>
  <c r="AI264" i="41" s="1"/>
  <c r="AI400" i="41" s="1"/>
  <c r="X258" i="41" a="1"/>
  <c r="X258" i="41" s="1"/>
  <c r="X263" i="41" s="1"/>
  <c r="O258" i="41" a="1"/>
  <c r="O258" i="41" s="1"/>
  <c r="O263" i="41" s="1"/>
  <c r="O322" i="41" s="1"/>
  <c r="O324" i="41" s="1"/>
  <c r="O326" i="41" s="1"/>
  <c r="O328" i="41" s="1"/>
  <c r="AA258" i="41" a="1"/>
  <c r="AA258" i="41" s="1"/>
  <c r="AA263" i="41" s="1"/>
  <c r="T258" i="41" a="1"/>
  <c r="T258" i="41" s="1"/>
  <c r="T263" i="41" s="1"/>
  <c r="AE258" i="41" a="1"/>
  <c r="AE258" i="41" s="1"/>
  <c r="AE263" i="41" s="1"/>
  <c r="K258" i="41" a="1"/>
  <c r="K258" i="41" s="1"/>
  <c r="K263" i="41" s="1"/>
  <c r="AL258" i="41" a="1"/>
  <c r="AL258" i="41" s="1"/>
  <c r="AL263" i="41" s="1"/>
  <c r="AL399" i="41" s="1"/>
  <c r="W258" i="41" a="1"/>
  <c r="W258" i="41" s="1"/>
  <c r="W263" i="41" s="1"/>
  <c r="W322" i="41" s="1"/>
  <c r="W324" i="41" s="1"/>
  <c r="V259" i="41" a="1"/>
  <c r="V259" i="41" s="1"/>
  <c r="V264" i="41" s="1"/>
  <c r="AO259" i="41" a="1"/>
  <c r="AO259" i="41" s="1"/>
  <c r="AO264" i="41" s="1"/>
  <c r="AO400" i="41" s="1"/>
  <c r="AF258" i="41" a="1"/>
  <c r="AF258" i="41" s="1"/>
  <c r="AF263" i="41" s="1"/>
  <c r="AF322" i="41" s="1"/>
  <c r="AF324" i="41" s="1"/>
  <c r="AF326" i="41" s="1"/>
  <c r="AF328" i="41" s="1"/>
  <c r="AF337" i="41" s="1"/>
  <c r="AF393" i="41" s="1"/>
  <c r="V258" i="41" a="1"/>
  <c r="V258" i="41" s="1"/>
  <c r="V263" i="41" s="1"/>
  <c r="P258" i="41" a="1"/>
  <c r="P258" i="41" s="1"/>
  <c r="P263" i="41" s="1"/>
  <c r="P322" i="41" s="1"/>
  <c r="P324" i="41" s="1"/>
  <c r="P326" i="41" s="1"/>
  <c r="P328" i="41" s="1"/>
  <c r="S258" i="41" a="1"/>
  <c r="S258" i="41" s="1"/>
  <c r="S263" i="41" s="1"/>
  <c r="S322" i="41" s="1"/>
  <c r="S324" i="41" s="1"/>
  <c r="U258" i="41" a="1"/>
  <c r="U258" i="41" s="1"/>
  <c r="U263" i="41" s="1"/>
  <c r="U322" i="41" s="1"/>
  <c r="U324" i="41" s="1"/>
  <c r="AI258" i="41" a="1"/>
  <c r="AI258" i="41" s="1"/>
  <c r="AI263" i="41" s="1"/>
  <c r="AO258" i="41" a="1"/>
  <c r="AO258" i="41" s="1"/>
  <c r="AO263" i="41" s="1"/>
  <c r="AB258" i="41" a="1"/>
  <c r="AB258" i="41" s="1"/>
  <c r="AB263" i="41" s="1"/>
  <c r="AB322" i="41" s="1"/>
  <c r="AB324" i="41" s="1"/>
  <c r="P331" i="41"/>
  <c r="P333" i="41" s="1"/>
  <c r="P335" i="41" s="1"/>
  <c r="AE299" i="41"/>
  <c r="AE301" i="41" s="1"/>
  <c r="AE303" i="41" s="1"/>
  <c r="AE305" i="41" s="1"/>
  <c r="M259" i="41" a="1"/>
  <c r="M259" i="41" s="1"/>
  <c r="M264" i="41" s="1"/>
  <c r="AH259" i="41" a="1"/>
  <c r="AH259" i="41" s="1"/>
  <c r="AH264" i="41" s="1"/>
  <c r="AH400" i="41" s="1"/>
  <c r="P299" i="41"/>
  <c r="P301" i="41" s="1"/>
  <c r="P303" i="41" s="1"/>
  <c r="P305" i="41" s="1"/>
  <c r="Y259" i="41" a="1"/>
  <c r="Y259" i="41" s="1"/>
  <c r="Y264" i="41" s="1"/>
  <c r="AN259" i="41" a="1"/>
  <c r="AN259" i="41" s="1"/>
  <c r="AN264" i="41" s="1"/>
  <c r="AN400" i="41" s="1"/>
  <c r="AM259" i="41" a="1"/>
  <c r="AM259" i="41" s="1"/>
  <c r="AM264" i="41" s="1"/>
  <c r="AM400" i="41" s="1"/>
  <c r="X259" i="41" a="1"/>
  <c r="X259" i="41" s="1"/>
  <c r="X264" i="41" s="1"/>
  <c r="AG259" i="41" a="1"/>
  <c r="AG259" i="41" s="1"/>
  <c r="AG264" i="41" s="1"/>
  <c r="O259" i="41" a="1"/>
  <c r="O259" i="41" s="1"/>
  <c r="O264" i="41" s="1"/>
  <c r="AA259" i="41" a="1"/>
  <c r="AA259" i="41" s="1"/>
  <c r="AA264" i="41" s="1"/>
  <c r="AE259" i="41" a="1"/>
  <c r="AE259" i="41" s="1"/>
  <c r="AE264" i="41" s="1"/>
  <c r="AK259" i="41" a="1"/>
  <c r="AK259" i="41" s="1"/>
  <c r="AK264" i="41" s="1"/>
  <c r="AK400" i="41" s="1"/>
  <c r="Q259" i="41" a="1"/>
  <c r="Q259" i="41" s="1"/>
  <c r="Q264" i="41" s="1"/>
  <c r="Q400" i="41" s="1"/>
  <c r="W259" i="41" a="1"/>
  <c r="W259" i="41" s="1"/>
  <c r="W264" i="41" s="1"/>
  <c r="W400" i="41" s="1"/>
  <c r="AC259" i="41" a="1"/>
  <c r="AC259" i="41" s="1"/>
  <c r="AC264" i="41" s="1"/>
  <c r="J259" i="41" a="1"/>
  <c r="J259" i="41" s="1"/>
  <c r="J264" i="41" s="1"/>
  <c r="L259" i="41" a="1"/>
  <c r="L259" i="41" s="1"/>
  <c r="L264" i="41" s="1"/>
  <c r="L400" i="41" s="1"/>
  <c r="T259" i="41" a="1"/>
  <c r="T259" i="41" s="1"/>
  <c r="T264" i="41" s="1"/>
  <c r="AF259" i="41" a="1"/>
  <c r="AF259" i="41" s="1"/>
  <c r="AF264" i="41" s="1"/>
  <c r="Z259" i="41" a="1"/>
  <c r="Z259" i="41" s="1"/>
  <c r="Z264" i="41" s="1"/>
  <c r="P259" i="41" a="1"/>
  <c r="P259" i="41" s="1"/>
  <c r="P264" i="41" s="1"/>
  <c r="U259" i="41" a="1"/>
  <c r="U259" i="41" s="1"/>
  <c r="U264" i="41" s="1"/>
  <c r="K259" i="41" a="1"/>
  <c r="K259" i="41" s="1"/>
  <c r="K264" i="41" s="1"/>
  <c r="K400" i="41" s="1"/>
  <c r="AL259" i="41" a="1"/>
  <c r="AL259" i="41" s="1"/>
  <c r="AL264" i="41" s="1"/>
  <c r="AL400" i="41" s="1"/>
  <c r="AB259" i="41" a="1"/>
  <c r="AB259" i="41" s="1"/>
  <c r="AB264" i="41" s="1"/>
  <c r="AB400" i="41" s="1"/>
  <c r="H118" i="105"/>
  <c r="N299" i="41"/>
  <c r="N301" i="41" s="1"/>
  <c r="N303" i="41" s="1"/>
  <c r="N305" i="41" s="1"/>
  <c r="AC299" i="41"/>
  <c r="AC301" i="41" s="1"/>
  <c r="AC303" i="41" s="1"/>
  <c r="AC305" i="41" s="1"/>
  <c r="H108" i="105"/>
  <c r="AA280" i="41"/>
  <c r="AA285" i="41" s="1"/>
  <c r="AA363" i="41" s="1"/>
  <c r="V280" i="41"/>
  <c r="V285" i="41" s="1"/>
  <c r="V363" i="41" s="1"/>
  <c r="Y278" i="41"/>
  <c r="Y283" i="41" s="1"/>
  <c r="T278" i="41"/>
  <c r="T283" i="41" s="1"/>
  <c r="Z278" i="41"/>
  <c r="Z283" i="41" s="1"/>
  <c r="AA279" i="41"/>
  <c r="AA284" i="41" s="1"/>
  <c r="V279" i="41"/>
  <c r="V284" i="41" s="1"/>
  <c r="V278" i="41"/>
  <c r="V283" i="41" s="1"/>
  <c r="T365" i="41"/>
  <c r="T367" i="41" s="1"/>
  <c r="Y365" i="41"/>
  <c r="Y367" i="41" s="1"/>
  <c r="AD299" i="41"/>
  <c r="S280" i="41"/>
  <c r="S285" i="41" s="1"/>
  <c r="S363" i="41" s="1"/>
  <c r="X280" i="41"/>
  <c r="X285" i="41" s="1"/>
  <c r="X363" i="41" s="1"/>
  <c r="AD331" i="41"/>
  <c r="AD333" i="41" s="1"/>
  <c r="AD335" i="41" s="1"/>
  <c r="J275" i="41"/>
  <c r="J280" i="41" s="1"/>
  <c r="J285" i="41" s="1"/>
  <c r="AC331" i="41"/>
  <c r="AC333" i="41" s="1"/>
  <c r="AC335" i="41" s="1"/>
  <c r="U280" i="41"/>
  <c r="U285" i="41" s="1"/>
  <c r="U363" i="41" s="1"/>
  <c r="Z280" i="41"/>
  <c r="Z285" i="41" s="1"/>
  <c r="Z363" i="41" s="1"/>
  <c r="AG107" i="105"/>
  <c r="AG117" i="105"/>
  <c r="K33" i="65"/>
  <c r="K111" i="65" s="1"/>
  <c r="K32" i="65"/>
  <c r="K110" i="65" s="1"/>
  <c r="AI354" i="41" l="1"/>
  <c r="AI356" i="41" s="1"/>
  <c r="T299" i="41"/>
  <c r="AH399" i="41"/>
  <c r="AH423" i="41" s="1"/>
  <c r="AH427" i="41" s="1"/>
  <c r="M310" i="41"/>
  <c r="N337" i="41"/>
  <c r="N341" i="41" s="1"/>
  <c r="R399" i="41"/>
  <c r="R423" i="41" s="1"/>
  <c r="R427" i="41" s="1"/>
  <c r="AI399" i="41"/>
  <c r="AI423" i="41" s="1"/>
  <c r="AI427" i="41" s="1"/>
  <c r="L399" i="41"/>
  <c r="L423" i="41" s="1"/>
  <c r="L427" i="41" s="1"/>
  <c r="Y299" i="41"/>
  <c r="V331" i="41"/>
  <c r="AJ354" i="41"/>
  <c r="AJ356" i="41" s="1"/>
  <c r="AB206" i="105"/>
  <c r="AB68" i="82"/>
  <c r="AB207" i="105"/>
  <c r="AB80" i="82" s="1"/>
  <c r="W207" i="105"/>
  <c r="W80" i="82" s="1"/>
  <c r="W206" i="105"/>
  <c r="W68" i="82"/>
  <c r="AA322" i="41"/>
  <c r="AA324" i="41" s="1"/>
  <c r="AD354" i="41"/>
  <c r="AD356" i="41" s="1"/>
  <c r="AD358" i="41" s="1"/>
  <c r="AD360" i="41" s="1"/>
  <c r="AD369" i="41" s="1"/>
  <c r="AD394" i="41" s="1"/>
  <c r="Q322" i="41"/>
  <c r="Q324" i="41" s="1"/>
  <c r="O337" i="41"/>
  <c r="O341" i="41" s="1"/>
  <c r="AK322" i="41"/>
  <c r="AK324" i="41" s="1"/>
  <c r="AM322" i="41"/>
  <c r="AM324" i="41" s="1"/>
  <c r="AG374" i="41"/>
  <c r="AG376" i="41" s="1"/>
  <c r="AG387" i="41" s="1"/>
  <c r="M322" i="41"/>
  <c r="M324" i="41" s="1"/>
  <c r="M326" i="41" s="1"/>
  <c r="M328" i="41" s="1"/>
  <c r="M337" i="41" s="1"/>
  <c r="M393" i="41" s="1"/>
  <c r="M354" i="41"/>
  <c r="M356" i="41" s="1"/>
  <c r="M358" i="41" s="1"/>
  <c r="M360" i="41" s="1"/>
  <c r="M369" i="41" s="1"/>
  <c r="M394" i="41" s="1"/>
  <c r="AL322" i="41"/>
  <c r="AL324" i="41" s="1"/>
  <c r="J354" i="41"/>
  <c r="J356" i="41" s="1"/>
  <c r="J358" i="41" s="1"/>
  <c r="J360" i="41" s="1"/>
  <c r="AC354" i="41"/>
  <c r="AC356" i="41" s="1"/>
  <c r="AC358" i="41" s="1"/>
  <c r="AC360" i="41" s="1"/>
  <c r="AC369" i="41" s="1"/>
  <c r="AC394" i="41" s="1"/>
  <c r="S354" i="41"/>
  <c r="S356" i="41" s="1"/>
  <c r="P354" i="41"/>
  <c r="P356" i="41" s="1"/>
  <c r="P358" i="41" s="1"/>
  <c r="P360" i="41" s="1"/>
  <c r="P369" i="41" s="1"/>
  <c r="P394" i="41" s="1"/>
  <c r="AN354" i="41"/>
  <c r="AN356" i="41" s="1"/>
  <c r="AO354" i="41"/>
  <c r="AO356" i="41" s="1"/>
  <c r="AB399" i="41"/>
  <c r="AB423" i="41" s="1"/>
  <c r="AB427" i="41" s="1"/>
  <c r="AN399" i="41"/>
  <c r="AN423" i="41" s="1"/>
  <c r="AN427" i="41" s="1"/>
  <c r="O354" i="41"/>
  <c r="O356" i="41" s="1"/>
  <c r="O358" i="41" s="1"/>
  <c r="O360" i="41" s="1"/>
  <c r="O369" i="41" s="1"/>
  <c r="O394" i="41" s="1"/>
  <c r="AG308" i="41"/>
  <c r="AN322" i="41"/>
  <c r="AN324" i="41" s="1"/>
  <c r="AG354" i="41"/>
  <c r="AG356" i="41" s="1"/>
  <c r="AG358" i="41" s="1"/>
  <c r="AG360" i="41" s="1"/>
  <c r="N354" i="41"/>
  <c r="N356" i="41" s="1"/>
  <c r="N358" i="41" s="1"/>
  <c r="N360" i="41" s="1"/>
  <c r="N369" i="41" s="1"/>
  <c r="N394" i="41" s="1"/>
  <c r="AF354" i="41"/>
  <c r="AF356" i="41" s="1"/>
  <c r="AF358" i="41" s="1"/>
  <c r="AF360" i="41" s="1"/>
  <c r="AF369" i="41" s="1"/>
  <c r="AF394" i="41" s="1"/>
  <c r="K354" i="41"/>
  <c r="K356" i="41" s="1"/>
  <c r="P337" i="41"/>
  <c r="P393" i="41" s="1"/>
  <c r="AH354" i="41"/>
  <c r="AH356" i="41" s="1"/>
  <c r="K399" i="41"/>
  <c r="K423" i="41" s="1"/>
  <c r="K427" i="41" s="1"/>
  <c r="K322" i="41"/>
  <c r="K324" i="41" s="1"/>
  <c r="AJ399" i="41"/>
  <c r="AJ423" i="41" s="1"/>
  <c r="AJ427" i="41" s="1"/>
  <c r="U354" i="41"/>
  <c r="U356" i="41" s="1"/>
  <c r="AJ322" i="41"/>
  <c r="AJ324" i="41" s="1"/>
  <c r="R354" i="41"/>
  <c r="R356" i="41" s="1"/>
  <c r="AG342" i="41"/>
  <c r="AL354" i="41"/>
  <c r="AL356" i="41" s="1"/>
  <c r="AE354" i="41"/>
  <c r="AE356" i="41" s="1"/>
  <c r="AE358" i="41" s="1"/>
  <c r="AE360" i="41" s="1"/>
  <c r="AE369" i="41" s="1"/>
  <c r="AE394" i="41" s="1"/>
  <c r="X354" i="41"/>
  <c r="X356" i="41" s="1"/>
  <c r="Z322" i="41"/>
  <c r="Z324" i="41" s="1"/>
  <c r="U326" i="41" s="1"/>
  <c r="U328" i="41" s="1"/>
  <c r="AE322" i="41"/>
  <c r="AE324" i="41" s="1"/>
  <c r="AE326" i="41" s="1"/>
  <c r="AE328" i="41" s="1"/>
  <c r="AE337" i="41" s="1"/>
  <c r="AE393" i="41" s="1"/>
  <c r="M309" i="41"/>
  <c r="Q423" i="41"/>
  <c r="Q427" i="41" s="1"/>
  <c r="AO322" i="41"/>
  <c r="AO324" i="41" s="1"/>
  <c r="X322" i="41"/>
  <c r="X324" i="41" s="1"/>
  <c r="S326" i="41" s="1"/>
  <c r="S328" i="41" s="1"/>
  <c r="AO399" i="41"/>
  <c r="AO423" i="41" s="1"/>
  <c r="AO427" i="41" s="1"/>
  <c r="AI322" i="41"/>
  <c r="AI324" i="41" s="1"/>
  <c r="W399" i="41"/>
  <c r="W423" i="41" s="1"/>
  <c r="W427" i="41" s="1"/>
  <c r="AK354" i="41"/>
  <c r="AK356" i="41" s="1"/>
  <c r="V322" i="41"/>
  <c r="V324" i="41" s="1"/>
  <c r="AG309" i="41"/>
  <c r="AF342" i="41"/>
  <c r="AA331" i="41"/>
  <c r="W354" i="41"/>
  <c r="W356" i="41" s="1"/>
  <c r="AM423" i="41"/>
  <c r="AM427" i="41" s="1"/>
  <c r="AM354" i="41"/>
  <c r="AM356" i="41" s="1"/>
  <c r="Y322" i="41"/>
  <c r="Y324" i="41" s="1"/>
  <c r="L354" i="41"/>
  <c r="L356" i="41" s="1"/>
  <c r="AB354" i="41"/>
  <c r="AB356" i="41" s="1"/>
  <c r="Y354" i="41"/>
  <c r="Y356" i="41" s="1"/>
  <c r="AG341" i="41"/>
  <c r="AK423" i="41"/>
  <c r="AK427" i="41" s="1"/>
  <c r="AL423" i="41"/>
  <c r="AL427" i="41" s="1"/>
  <c r="Q354" i="41"/>
  <c r="Q356" i="41" s="1"/>
  <c r="N392" i="41"/>
  <c r="N308" i="41"/>
  <c r="AF392" i="41"/>
  <c r="AF310" i="41"/>
  <c r="AC392" i="41"/>
  <c r="AC309" i="41"/>
  <c r="X331" i="41"/>
  <c r="AA354" i="41"/>
  <c r="AA356" i="41" s="1"/>
  <c r="AF341" i="41"/>
  <c r="AE392" i="41"/>
  <c r="AE308" i="41"/>
  <c r="AE310" i="41"/>
  <c r="T322" i="41"/>
  <c r="T324" i="41" s="1"/>
  <c r="AF308" i="41"/>
  <c r="Z299" i="41"/>
  <c r="T354" i="41"/>
  <c r="T356" i="41" s="1"/>
  <c r="P392" i="41"/>
  <c r="P309" i="41"/>
  <c r="P308" i="41"/>
  <c r="P310" i="41"/>
  <c r="Z365" i="41"/>
  <c r="Z367" i="41" s="1"/>
  <c r="U365" i="41"/>
  <c r="U367" i="41" s="1"/>
  <c r="U331" i="41"/>
  <c r="S331" i="41"/>
  <c r="AD337" i="41"/>
  <c r="AD301" i="41"/>
  <c r="AD303" i="41" s="1"/>
  <c r="AD305" i="41" s="1"/>
  <c r="V299" i="41"/>
  <c r="O308" i="41"/>
  <c r="V365" i="41"/>
  <c r="V367" i="41" s="1"/>
  <c r="AA365" i="41"/>
  <c r="AA367" i="41" s="1"/>
  <c r="Z331" i="41"/>
  <c r="AE309" i="41"/>
  <c r="S365" i="41"/>
  <c r="S367" i="41" s="1"/>
  <c r="X365" i="41"/>
  <c r="X367" i="41" s="1"/>
  <c r="AC337" i="41"/>
  <c r="T333" i="41"/>
  <c r="T335" i="41" s="1"/>
  <c r="Y333" i="41"/>
  <c r="Y335" i="41" s="1"/>
  <c r="AC308" i="41"/>
  <c r="N310" i="41"/>
  <c r="J363" i="41"/>
  <c r="J365" i="41" s="1"/>
  <c r="J367" i="41" s="1"/>
  <c r="J331" i="41"/>
  <c r="J333" i="41" s="1"/>
  <c r="J335" i="41" s="1"/>
  <c r="J337" i="41" s="1"/>
  <c r="J299" i="41"/>
  <c r="N309" i="41"/>
  <c r="Z354" i="41"/>
  <c r="Z356" i="41" s="1"/>
  <c r="V354" i="41"/>
  <c r="V356" i="41" s="1"/>
  <c r="S299" i="41"/>
  <c r="O310" i="41"/>
  <c r="AC310" i="41"/>
  <c r="U299" i="41"/>
  <c r="X299" i="41"/>
  <c r="AF309" i="41"/>
  <c r="O309" i="41"/>
  <c r="AA299" i="41"/>
  <c r="K130" i="65"/>
  <c r="K159" i="65" s="1"/>
  <c r="K64" i="105" s="1"/>
  <c r="K182" i="105" s="1"/>
  <c r="K38" i="82"/>
  <c r="K131" i="65"/>
  <c r="K160" i="65" s="1"/>
  <c r="K65" i="105" s="1"/>
  <c r="K183" i="105" s="1"/>
  <c r="K39" i="82"/>
  <c r="K140" i="65"/>
  <c r="K169" i="65" s="1"/>
  <c r="K74" i="105" s="1"/>
  <c r="K139" i="65"/>
  <c r="K168" i="65" s="1"/>
  <c r="K73" i="105" s="1"/>
  <c r="K193" i="105" s="1"/>
  <c r="K121" i="65"/>
  <c r="K150" i="65" s="1"/>
  <c r="K55" i="105" s="1"/>
  <c r="K95" i="105" s="1"/>
  <c r="K122" i="65"/>
  <c r="K151" i="65" s="1"/>
  <c r="K56" i="105" s="1"/>
  <c r="K96" i="105" s="1"/>
  <c r="AA159" i="65"/>
  <c r="AA64" i="105" s="1"/>
  <c r="T301" i="41" l="1"/>
  <c r="T303" i="41" s="1"/>
  <c r="T305" i="41" s="1"/>
  <c r="T310" i="41" s="1"/>
  <c r="M312" i="41"/>
  <c r="M385" i="41" s="1"/>
  <c r="N342" i="41"/>
  <c r="N344" i="41" s="1"/>
  <c r="N386" i="41" s="1"/>
  <c r="N393" i="41"/>
  <c r="Z326" i="41"/>
  <c r="Z328" i="41" s="1"/>
  <c r="Y301" i="41"/>
  <c r="Y303" i="41" s="1"/>
  <c r="Y305" i="41" s="1"/>
  <c r="Y309" i="41" s="1"/>
  <c r="V326" i="41"/>
  <c r="V328" i="41" s="1"/>
  <c r="V333" i="41"/>
  <c r="V335" i="41" s="1"/>
  <c r="O342" i="41"/>
  <c r="O344" i="41" s="1"/>
  <c r="O386" i="41" s="1"/>
  <c r="J369" i="41"/>
  <c r="J374" i="41" s="1"/>
  <c r="J376" i="41" s="1"/>
  <c r="W326" i="41"/>
  <c r="W328" i="41" s="1"/>
  <c r="O393" i="41"/>
  <c r="AG344" i="41"/>
  <c r="AG386" i="41" s="1"/>
  <c r="P342" i="41"/>
  <c r="P341" i="41"/>
  <c r="AJ326" i="41"/>
  <c r="AJ328" i="41" s="1"/>
  <c r="AM326" i="41"/>
  <c r="AM328" i="41" s="1"/>
  <c r="AD374" i="41"/>
  <c r="AD376" i="41" s="1"/>
  <c r="AD387" i="41" s="1"/>
  <c r="AE374" i="41"/>
  <c r="AE376" i="41" s="1"/>
  <c r="AE387" i="41" s="1"/>
  <c r="M374" i="41"/>
  <c r="M376" i="41" s="1"/>
  <c r="M387" i="41" s="1"/>
  <c r="M342" i="41"/>
  <c r="P374" i="41"/>
  <c r="P376" i="41" s="1"/>
  <c r="P387" i="41" s="1"/>
  <c r="M341" i="41"/>
  <c r="AC374" i="41"/>
  <c r="AC376" i="41" s="1"/>
  <c r="AC387" i="41" s="1"/>
  <c r="N374" i="41"/>
  <c r="N376" i="41" s="1"/>
  <c r="N387" i="41" s="1"/>
  <c r="Z358" i="41"/>
  <c r="Z360" i="41" s="1"/>
  <c r="Z369" i="41" s="1"/>
  <c r="O374" i="41"/>
  <c r="O376" i="41" s="1"/>
  <c r="O387" i="41" s="1"/>
  <c r="AO326" i="41"/>
  <c r="AO328" i="41" s="1"/>
  <c r="AG312" i="41"/>
  <c r="AG385" i="41" s="1"/>
  <c r="S358" i="41"/>
  <c r="S360" i="41" s="1"/>
  <c r="S369" i="41" s="1"/>
  <c r="S394" i="41" s="1"/>
  <c r="L326" i="41"/>
  <c r="L328" i="41" s="1"/>
  <c r="X358" i="41"/>
  <c r="X360" i="41" s="1"/>
  <c r="X369" i="41" s="1"/>
  <c r="X394" i="41" s="1"/>
  <c r="AN326" i="41"/>
  <c r="AN328" i="41" s="1"/>
  <c r="AK326" i="41"/>
  <c r="AK328" i="41" s="1"/>
  <c r="AI326" i="41"/>
  <c r="AI328" i="41" s="1"/>
  <c r="AL326" i="41"/>
  <c r="AL328" i="41" s="1"/>
  <c r="AF374" i="41"/>
  <c r="AF376" i="41" s="1"/>
  <c r="AF387" i="41" s="1"/>
  <c r="AF312" i="41"/>
  <c r="AF385" i="41" s="1"/>
  <c r="R326" i="41"/>
  <c r="R328" i="41" s="1"/>
  <c r="K326" i="41"/>
  <c r="K328" i="41" s="1"/>
  <c r="Q326" i="41"/>
  <c r="Q328" i="41" s="1"/>
  <c r="AB326" i="41"/>
  <c r="AB328" i="41" s="1"/>
  <c r="AH326" i="41"/>
  <c r="AH328" i="41" s="1"/>
  <c r="AF344" i="41"/>
  <c r="AF386" i="41" s="1"/>
  <c r="AE341" i="41"/>
  <c r="AE342" i="41"/>
  <c r="Y326" i="41"/>
  <c r="Y328" i="41" s="1"/>
  <c r="Y337" i="41" s="1"/>
  <c r="Y393" i="41" s="1"/>
  <c r="X326" i="41"/>
  <c r="X328" i="41" s="1"/>
  <c r="W358" i="41"/>
  <c r="W360" i="41" s="1"/>
  <c r="L358" i="41"/>
  <c r="L360" i="41" s="1"/>
  <c r="Y358" i="41"/>
  <c r="Y360" i="41" s="1"/>
  <c r="Y369" i="41" s="1"/>
  <c r="Y394" i="41" s="1"/>
  <c r="AA333" i="41"/>
  <c r="AA335" i="41" s="1"/>
  <c r="AA326" i="41"/>
  <c r="AA328" i="41" s="1"/>
  <c r="AB358" i="41"/>
  <c r="AB360" i="41" s="1"/>
  <c r="T326" i="41"/>
  <c r="T328" i="41" s="1"/>
  <c r="T337" i="41" s="1"/>
  <c r="AE312" i="41"/>
  <c r="AE385" i="41" s="1"/>
  <c r="AM358" i="41"/>
  <c r="AM360" i="41" s="1"/>
  <c r="K358" i="41"/>
  <c r="K360" i="41" s="1"/>
  <c r="AN358" i="41"/>
  <c r="AN360" i="41" s="1"/>
  <c r="AH358" i="41"/>
  <c r="AH360" i="41" s="1"/>
  <c r="T358" i="41"/>
  <c r="T360" i="41" s="1"/>
  <c r="T369" i="41" s="1"/>
  <c r="T394" i="41" s="1"/>
  <c r="AL358" i="41"/>
  <c r="AL360" i="41" s="1"/>
  <c r="AO358" i="41"/>
  <c r="AO360" i="41" s="1"/>
  <c r="R358" i="41"/>
  <c r="R360" i="41" s="1"/>
  <c r="AK358" i="41"/>
  <c r="AK360" i="41" s="1"/>
  <c r="AJ358" i="41"/>
  <c r="AJ360" i="41" s="1"/>
  <c r="AI358" i="41"/>
  <c r="AI360" i="41" s="1"/>
  <c r="Q358" i="41"/>
  <c r="Q360" i="41" s="1"/>
  <c r="N312" i="41"/>
  <c r="N385" i="41" s="1"/>
  <c r="U358" i="41"/>
  <c r="U360" i="41" s="1"/>
  <c r="U369" i="41" s="1"/>
  <c r="U394" i="41" s="1"/>
  <c r="P312" i="41"/>
  <c r="P385" i="41" s="1"/>
  <c r="S301" i="41"/>
  <c r="S303" i="41" s="1"/>
  <c r="S305" i="41" s="1"/>
  <c r="X301" i="41"/>
  <c r="X303" i="41" s="1"/>
  <c r="X305" i="41" s="1"/>
  <c r="AD393" i="41"/>
  <c r="AD341" i="41"/>
  <c r="AD342" i="41"/>
  <c r="Z301" i="41"/>
  <c r="Z303" i="41" s="1"/>
  <c r="Z305" i="41" s="1"/>
  <c r="U301" i="41"/>
  <c r="U303" i="41" s="1"/>
  <c r="U305" i="41" s="1"/>
  <c r="V358" i="41"/>
  <c r="V360" i="41" s="1"/>
  <c r="V369" i="41" s="1"/>
  <c r="AA358" i="41"/>
  <c r="AA360" i="41" s="1"/>
  <c r="AA369" i="41" s="1"/>
  <c r="J301" i="41"/>
  <c r="J303" i="41" s="1"/>
  <c r="J305" i="41" s="1"/>
  <c r="AC312" i="41"/>
  <c r="AC385" i="41" s="1"/>
  <c r="AA301" i="41"/>
  <c r="AA303" i="41" s="1"/>
  <c r="AA305" i="41" s="1"/>
  <c r="V301" i="41"/>
  <c r="V303" i="41" s="1"/>
  <c r="V305" i="41" s="1"/>
  <c r="J393" i="41"/>
  <c r="J342" i="41"/>
  <c r="J341" i="41"/>
  <c r="AC393" i="41"/>
  <c r="AC341" i="41"/>
  <c r="AC342" i="41"/>
  <c r="O312" i="41"/>
  <c r="O385" i="41" s="1"/>
  <c r="AD392" i="41"/>
  <c r="AD309" i="41"/>
  <c r="AD308" i="41"/>
  <c r="AD310" i="41"/>
  <c r="X333" i="41"/>
  <c r="X335" i="41" s="1"/>
  <c r="S333" i="41"/>
  <c r="S335" i="41" s="1"/>
  <c r="S337" i="41" s="1"/>
  <c r="U333" i="41"/>
  <c r="U335" i="41" s="1"/>
  <c r="U337" i="41" s="1"/>
  <c r="Z333" i="41"/>
  <c r="Z335" i="41" s="1"/>
  <c r="AA182" i="105"/>
  <c r="AA189" i="105" s="1"/>
  <c r="AA105" i="105"/>
  <c r="AA112" i="105" s="1"/>
  <c r="K106" i="105"/>
  <c r="K105" i="105"/>
  <c r="K116" i="105"/>
  <c r="K194" i="105"/>
  <c r="K115" i="105"/>
  <c r="K34" i="65"/>
  <c r="K112" i="65" s="1"/>
  <c r="K40" i="82" s="1"/>
  <c r="AJ33" i="65"/>
  <c r="AJ111" i="65" s="1"/>
  <c r="AJ39" i="82" s="1"/>
  <c r="R33" i="65"/>
  <c r="R111" i="65" s="1"/>
  <c r="R39" i="82" s="1"/>
  <c r="T308" i="41" l="1"/>
  <c r="T392" i="41"/>
  <c r="T309" i="41"/>
  <c r="J394" i="41"/>
  <c r="Z337" i="41"/>
  <c r="Z341" i="41" s="1"/>
  <c r="Y308" i="41"/>
  <c r="Y392" i="41"/>
  <c r="Y310" i="41"/>
  <c r="V337" i="41"/>
  <c r="V342" i="41" s="1"/>
  <c r="X337" i="41"/>
  <c r="X342" i="41" s="1"/>
  <c r="AG389" i="41"/>
  <c r="AG396" i="41" s="1"/>
  <c r="AG399" i="41" s="1"/>
  <c r="P344" i="41"/>
  <c r="P386" i="41" s="1"/>
  <c r="P389" i="41" s="1"/>
  <c r="P396" i="41" s="1"/>
  <c r="P399" i="41" s="1"/>
  <c r="M344" i="41"/>
  <c r="M386" i="41" s="1"/>
  <c r="M389" i="41" s="1"/>
  <c r="M396" i="41" s="1"/>
  <c r="M400" i="41" s="1"/>
  <c r="M405" i="41" s="1"/>
  <c r="M414" i="41" s="1"/>
  <c r="AE344" i="41"/>
  <c r="AE386" i="41" s="1"/>
  <c r="AE389" i="41" s="1"/>
  <c r="AE396" i="41" s="1"/>
  <c r="AE400" i="41" s="1"/>
  <c r="AE405" i="41" s="1"/>
  <c r="AE414" i="41" s="1"/>
  <c r="T374" i="41"/>
  <c r="T376" i="41" s="1"/>
  <c r="T387" i="41" s="1"/>
  <c r="AF389" i="41"/>
  <c r="AF396" i="41" s="1"/>
  <c r="AF401" i="41" s="1"/>
  <c r="AF404" i="41" s="1"/>
  <c r="AF413" i="41" s="1"/>
  <c r="X374" i="41"/>
  <c r="X376" i="41" s="1"/>
  <c r="X387" i="41" s="1"/>
  <c r="Y374" i="41"/>
  <c r="Y376" i="41" s="1"/>
  <c r="Y387" i="41" s="1"/>
  <c r="Y341" i="41"/>
  <c r="Y342" i="41"/>
  <c r="AA337" i="41"/>
  <c r="AA393" i="41" s="1"/>
  <c r="T393" i="41"/>
  <c r="T341" i="41"/>
  <c r="S374" i="41"/>
  <c r="S376" i="41" s="1"/>
  <c r="S387" i="41" s="1"/>
  <c r="T342" i="41"/>
  <c r="N389" i="41"/>
  <c r="N396" i="41" s="1"/>
  <c r="N401" i="41" s="1"/>
  <c r="N404" i="41" s="1"/>
  <c r="N413" i="41" s="1"/>
  <c r="U374" i="41"/>
  <c r="U376" i="41" s="1"/>
  <c r="U387" i="41" s="1"/>
  <c r="AC344" i="41"/>
  <c r="AC386" i="41" s="1"/>
  <c r="AC389" i="41" s="1"/>
  <c r="AC396" i="41" s="1"/>
  <c r="J387" i="41"/>
  <c r="AD344" i="41"/>
  <c r="AD386" i="41" s="1"/>
  <c r="V394" i="41"/>
  <c r="V374" i="41"/>
  <c r="V376" i="41" s="1"/>
  <c r="V387" i="41" s="1"/>
  <c r="S392" i="41"/>
  <c r="S309" i="41"/>
  <c r="S308" i="41"/>
  <c r="S310" i="41"/>
  <c r="V392" i="41"/>
  <c r="V309" i="41"/>
  <c r="V310" i="41"/>
  <c r="V308" i="41"/>
  <c r="AA392" i="41"/>
  <c r="AA308" i="41"/>
  <c r="AA310" i="41"/>
  <c r="AA309" i="41"/>
  <c r="U392" i="41"/>
  <c r="U309" i="41"/>
  <c r="U308" i="41"/>
  <c r="U310" i="41"/>
  <c r="X392" i="41"/>
  <c r="X308" i="41"/>
  <c r="X309" i="41"/>
  <c r="X310" i="41"/>
  <c r="Z394" i="41"/>
  <c r="Z374" i="41"/>
  <c r="Z376" i="41" s="1"/>
  <c r="Z387" i="41" s="1"/>
  <c r="O389" i="41"/>
  <c r="O396" i="41" s="1"/>
  <c r="J344" i="41"/>
  <c r="J386" i="41" s="1"/>
  <c r="AA394" i="41"/>
  <c r="AA374" i="41"/>
  <c r="AA376" i="41" s="1"/>
  <c r="AA387" i="41" s="1"/>
  <c r="J392" i="41"/>
  <c r="J308" i="41"/>
  <c r="J309" i="41"/>
  <c r="J310" i="41"/>
  <c r="Z392" i="41"/>
  <c r="Z310" i="41"/>
  <c r="Z309" i="41"/>
  <c r="Z308" i="41"/>
  <c r="S393" i="41"/>
  <c r="S342" i="41"/>
  <c r="S341" i="41"/>
  <c r="U393" i="41"/>
  <c r="U342" i="41"/>
  <c r="U341" i="41"/>
  <c r="AD312" i="41"/>
  <c r="AD385" i="41" s="1"/>
  <c r="R122" i="65"/>
  <c r="R151" i="65" s="1"/>
  <c r="R56" i="105" s="1"/>
  <c r="R96" i="105" s="1"/>
  <c r="R102" i="105" s="1"/>
  <c r="R131" i="65"/>
  <c r="R160" i="65" s="1"/>
  <c r="R65" i="105" s="1"/>
  <c r="R140" i="65"/>
  <c r="R169" i="65" s="1"/>
  <c r="R74" i="105" s="1"/>
  <c r="AJ122" i="65"/>
  <c r="AJ151" i="65" s="1"/>
  <c r="AJ56" i="105" s="1"/>
  <c r="AJ131" i="65"/>
  <c r="AJ160" i="65" s="1"/>
  <c r="AJ65" i="105" s="1"/>
  <c r="AJ183" i="105" s="1"/>
  <c r="AJ189" i="105" s="1"/>
  <c r="AJ140" i="65"/>
  <c r="AJ169" i="65" s="1"/>
  <c r="AJ74" i="105" s="1"/>
  <c r="AJ194" i="105" s="1"/>
  <c r="AJ200" i="105" s="1"/>
  <c r="K141" i="65"/>
  <c r="K170" i="65" s="1"/>
  <c r="K75" i="105" s="1"/>
  <c r="K195" i="105" s="1"/>
  <c r="K200" i="105" s="1"/>
  <c r="K132" i="65"/>
  <c r="K161" i="65" s="1"/>
  <c r="K66" i="105" s="1"/>
  <c r="K184" i="105" s="1"/>
  <c r="K189" i="105" s="1"/>
  <c r="K123" i="65"/>
  <c r="K152" i="65" s="1"/>
  <c r="K57" i="105" s="1"/>
  <c r="K97" i="105" s="1"/>
  <c r="K102" i="105" s="1"/>
  <c r="K174" i="105" s="1"/>
  <c r="T312" i="41" l="1"/>
  <c r="T385" i="41" s="1"/>
  <c r="Y312" i="41"/>
  <c r="Y385" i="41" s="1"/>
  <c r="Z342" i="41"/>
  <c r="Z344" i="41" s="1"/>
  <c r="Z386" i="41" s="1"/>
  <c r="Z393" i="41"/>
  <c r="V393" i="41"/>
  <c r="V341" i="41"/>
  <c r="V344" i="41" s="1"/>
  <c r="V386" i="41" s="1"/>
  <c r="X393" i="41"/>
  <c r="X341" i="41"/>
  <c r="X344" i="41" s="1"/>
  <c r="X386" i="41" s="1"/>
  <c r="AG401" i="41"/>
  <c r="AG400" i="41"/>
  <c r="R174" i="105"/>
  <c r="R71" i="82" s="1"/>
  <c r="R140" i="105"/>
  <c r="R146" i="105"/>
  <c r="R69" i="82" s="1"/>
  <c r="R106" i="105"/>
  <c r="R112" i="105" s="1"/>
  <c r="R183" i="105"/>
  <c r="R189" i="105" s="1"/>
  <c r="R116" i="105"/>
  <c r="R122" i="105" s="1"/>
  <c r="R194" i="105"/>
  <c r="R200" i="105" s="1"/>
  <c r="M401" i="41"/>
  <c r="M404" i="41" s="1"/>
  <c r="M413" i="41" s="1"/>
  <c r="M399" i="41"/>
  <c r="M406" i="41" s="1"/>
  <c r="M415" i="41" s="1"/>
  <c r="AF399" i="41"/>
  <c r="AE401" i="41"/>
  <c r="AE404" i="41" s="1"/>
  <c r="AE413" i="41" s="1"/>
  <c r="AF400" i="41"/>
  <c r="AF405" i="41" s="1"/>
  <c r="AF414" i="41" s="1"/>
  <c r="AE399" i="41"/>
  <c r="T344" i="41"/>
  <c r="T386" i="41" s="1"/>
  <c r="Y344" i="41"/>
  <c r="Y386" i="41" s="1"/>
  <c r="AA342" i="41"/>
  <c r="AA341" i="41"/>
  <c r="P400" i="41"/>
  <c r="P405" i="41" s="1"/>
  <c r="P414" i="41" s="1"/>
  <c r="P401" i="41"/>
  <c r="P404" i="41" s="1"/>
  <c r="P413" i="41" s="1"/>
  <c r="N399" i="41"/>
  <c r="N406" i="41" s="1"/>
  <c r="N415" i="41" s="1"/>
  <c r="N400" i="41"/>
  <c r="N405" i="41" s="1"/>
  <c r="N414" i="41" s="1"/>
  <c r="S344" i="41"/>
  <c r="S386" i="41" s="1"/>
  <c r="Z312" i="41"/>
  <c r="Z385" i="41" s="1"/>
  <c r="P406" i="41"/>
  <c r="P415" i="41" s="1"/>
  <c r="X312" i="41"/>
  <c r="X385" i="41" s="1"/>
  <c r="AA312" i="41"/>
  <c r="AA385" i="41" s="1"/>
  <c r="H429" i="41"/>
  <c r="AD389" i="41"/>
  <c r="AD396" i="41" s="1"/>
  <c r="AD400" i="41" s="1"/>
  <c r="AD405" i="41" s="1"/>
  <c r="AD414" i="41" s="1"/>
  <c r="U344" i="41"/>
  <c r="U386" i="41" s="1"/>
  <c r="J312" i="41"/>
  <c r="J385" i="41" s="1"/>
  <c r="J389" i="41" s="1"/>
  <c r="J396" i="41" s="1"/>
  <c r="V312" i="41"/>
  <c r="V385" i="41" s="1"/>
  <c r="AC401" i="41"/>
  <c r="AC404" i="41" s="1"/>
  <c r="AC413" i="41" s="1"/>
  <c r="AC400" i="41"/>
  <c r="AC405" i="41" s="1"/>
  <c r="AC414" i="41" s="1"/>
  <c r="AC399" i="41"/>
  <c r="O401" i="41"/>
  <c r="O404" i="41" s="1"/>
  <c r="O413" i="41" s="1"/>
  <c r="O400" i="41"/>
  <c r="O405" i="41" s="1"/>
  <c r="O414" i="41" s="1"/>
  <c r="O399" i="41"/>
  <c r="U312" i="41"/>
  <c r="U385" i="41" s="1"/>
  <c r="S312" i="41"/>
  <c r="S385" i="41" s="1"/>
  <c r="K140" i="105"/>
  <c r="K146" i="105"/>
  <c r="K69" i="82" s="1"/>
  <c r="K71" i="82"/>
  <c r="AG32" i="65"/>
  <c r="AG110" i="65" s="1"/>
  <c r="K107" i="105"/>
  <c r="K112" i="105" s="1"/>
  <c r="K117" i="105"/>
  <c r="K122" i="105" s="1"/>
  <c r="AJ116" i="105"/>
  <c r="AJ122" i="105" s="1"/>
  <c r="AJ106" i="105"/>
  <c r="AJ112" i="105" s="1"/>
  <c r="AJ96" i="105"/>
  <c r="AJ102" i="105" s="1"/>
  <c r="AJ174" i="105" s="1"/>
  <c r="AG33" i="65"/>
  <c r="AG111" i="65" s="1"/>
  <c r="AG39" i="82" s="1"/>
  <c r="T389" i="41" l="1"/>
  <c r="T396" i="41" s="1"/>
  <c r="T401" i="41" s="1"/>
  <c r="T404" i="41" s="1"/>
  <c r="T413" i="41" s="1"/>
  <c r="AE423" i="41"/>
  <c r="AE427" i="41" s="1"/>
  <c r="Y389" i="41"/>
  <c r="Y396" i="41" s="1"/>
  <c r="Y399" i="41" s="1"/>
  <c r="AE406" i="41"/>
  <c r="AE415" i="41" s="1"/>
  <c r="AG423" i="41"/>
  <c r="AG427" i="41" s="1"/>
  <c r="AF423" i="41"/>
  <c r="AF427" i="41" s="1"/>
  <c r="AF406" i="41"/>
  <c r="AF415" i="41" s="1"/>
  <c r="M423" i="41"/>
  <c r="M427" i="41" s="1"/>
  <c r="K148" i="105"/>
  <c r="K142" i="105"/>
  <c r="R148" i="105"/>
  <c r="R142" i="105"/>
  <c r="R147" i="105"/>
  <c r="R141" i="105"/>
  <c r="AJ148" i="105"/>
  <c r="AJ142" i="105"/>
  <c r="R68" i="82"/>
  <c r="R206" i="105"/>
  <c r="R79" i="82" s="1"/>
  <c r="R207" i="105"/>
  <c r="R80" i="82" s="1"/>
  <c r="AA344" i="41"/>
  <c r="AA386" i="41" s="1"/>
  <c r="AA389" i="41" s="1"/>
  <c r="AA396" i="41" s="1"/>
  <c r="AA401" i="41" s="1"/>
  <c r="AA404" i="41" s="1"/>
  <c r="AA413" i="41" s="1"/>
  <c r="S389" i="41"/>
  <c r="S396" i="41" s="1"/>
  <c r="S401" i="41" s="1"/>
  <c r="S404" i="41" s="1"/>
  <c r="S413" i="41" s="1"/>
  <c r="Z389" i="41"/>
  <c r="Z396" i="41" s="1"/>
  <c r="Z399" i="41" s="1"/>
  <c r="Z406" i="41" s="1"/>
  <c r="Z415" i="41" s="1"/>
  <c r="N423" i="41"/>
  <c r="N427" i="41" s="1"/>
  <c r="P423" i="41"/>
  <c r="P427" i="41" s="1"/>
  <c r="K68" i="82"/>
  <c r="K206" i="105"/>
  <c r="K79" i="82" s="1"/>
  <c r="K207" i="105"/>
  <c r="K80" i="82" s="1"/>
  <c r="V389" i="41"/>
  <c r="V396" i="41" s="1"/>
  <c r="V400" i="41" s="1"/>
  <c r="V405" i="41" s="1"/>
  <c r="V414" i="41" s="1"/>
  <c r="AD401" i="41"/>
  <c r="AD404" i="41" s="1"/>
  <c r="AD413" i="41" s="1"/>
  <c r="X389" i="41"/>
  <c r="X396" i="41" s="1"/>
  <c r="AD399" i="41"/>
  <c r="U389" i="41"/>
  <c r="U396" i="41" s="1"/>
  <c r="U399" i="41" s="1"/>
  <c r="AC406" i="41"/>
  <c r="AC415" i="41" s="1"/>
  <c r="AC423" i="41"/>
  <c r="AC427" i="41" s="1"/>
  <c r="O406" i="41"/>
  <c r="O415" i="41" s="1"/>
  <c r="O423" i="41"/>
  <c r="O427" i="41" s="1"/>
  <c r="Y406" i="41"/>
  <c r="Y415" i="41" s="1"/>
  <c r="J400" i="41"/>
  <c r="J405" i="41" s="1"/>
  <c r="J414" i="41" s="1"/>
  <c r="J401" i="41"/>
  <c r="J404" i="41" s="1"/>
  <c r="J413" i="41" s="1"/>
  <c r="J399" i="41"/>
  <c r="N32" i="65"/>
  <c r="N110" i="65" s="1"/>
  <c r="N38" i="82" s="1"/>
  <c r="P34" i="65"/>
  <c r="P112" i="65" s="1"/>
  <c r="P32" i="65"/>
  <c r="P110" i="65" s="1"/>
  <c r="P33" i="65"/>
  <c r="P111" i="65" s="1"/>
  <c r="M33" i="65"/>
  <c r="M111" i="65" s="1"/>
  <c r="M39" i="82" s="1"/>
  <c r="M34" i="65"/>
  <c r="M112" i="65" s="1"/>
  <c r="M132" i="65" s="1"/>
  <c r="M161" i="65" s="1"/>
  <c r="M66" i="105" s="1"/>
  <c r="M184" i="105" s="1"/>
  <c r="M32" i="65"/>
  <c r="M110" i="65" s="1"/>
  <c r="M38" i="82" s="1"/>
  <c r="AG139" i="65"/>
  <c r="AG168" i="65" s="1"/>
  <c r="AG73" i="105" s="1"/>
  <c r="AG193" i="105" s="1"/>
  <c r="AG38" i="82"/>
  <c r="AG121" i="65"/>
  <c r="AG150" i="65" s="1"/>
  <c r="AG55" i="105" s="1"/>
  <c r="AG95" i="105" s="1"/>
  <c r="AJ141" i="105"/>
  <c r="AJ147" i="105"/>
  <c r="AJ146" i="105"/>
  <c r="AJ69" i="82" s="1"/>
  <c r="AJ140" i="105"/>
  <c r="AJ71" i="82"/>
  <c r="AG130" i="65"/>
  <c r="AG159" i="65" s="1"/>
  <c r="AG64" i="105" s="1"/>
  <c r="AG182" i="105" s="1"/>
  <c r="AG140" i="65"/>
  <c r="AG169" i="65" s="1"/>
  <c r="AG74" i="105" s="1"/>
  <c r="AG194" i="105" s="1"/>
  <c r="AG122" i="65"/>
  <c r="AG151" i="65" s="1"/>
  <c r="AG56" i="105" s="1"/>
  <c r="AG96" i="105" s="1"/>
  <c r="AG131" i="65"/>
  <c r="AG160" i="65" s="1"/>
  <c r="AG65" i="105" s="1"/>
  <c r="AG183" i="105" s="1"/>
  <c r="T399" i="41" l="1"/>
  <c r="T400" i="41"/>
  <c r="T405" i="41" s="1"/>
  <c r="T414" i="41" s="1"/>
  <c r="T33" i="65" s="1"/>
  <c r="T111" i="65" s="1"/>
  <c r="T39" i="82" s="1"/>
  <c r="Y401" i="41"/>
  <c r="Y404" i="41" s="1"/>
  <c r="Y413" i="41" s="1"/>
  <c r="Y400" i="41"/>
  <c r="Y405" i="41" s="1"/>
  <c r="Y414" i="41" s="1"/>
  <c r="Y33" i="65" s="1"/>
  <c r="Y111" i="65" s="1"/>
  <c r="Y39" i="82" s="1"/>
  <c r="S400" i="41"/>
  <c r="S405" i="41" s="1"/>
  <c r="S414" i="41" s="1"/>
  <c r="S399" i="41"/>
  <c r="AA399" i="41"/>
  <c r="AA400" i="41"/>
  <c r="AA405" i="41" s="1"/>
  <c r="AA414" i="41" s="1"/>
  <c r="AA33" i="65" s="1"/>
  <c r="AA111" i="65" s="1"/>
  <c r="AA39" i="82" s="1"/>
  <c r="V401" i="41"/>
  <c r="V404" i="41" s="1"/>
  <c r="V413" i="41" s="1"/>
  <c r="V32" i="65" s="1"/>
  <c r="V110" i="65" s="1"/>
  <c r="V38" i="82" s="1"/>
  <c r="V399" i="41"/>
  <c r="V406" i="41" s="1"/>
  <c r="V415" i="41" s="1"/>
  <c r="V34" i="65" s="1"/>
  <c r="V112" i="65" s="1"/>
  <c r="Z400" i="41"/>
  <c r="Z405" i="41" s="1"/>
  <c r="Z414" i="41" s="1"/>
  <c r="Z33" i="65" s="1"/>
  <c r="Z111" i="65" s="1"/>
  <c r="Z401" i="41"/>
  <c r="Z404" i="41" s="1"/>
  <c r="Z413" i="41" s="1"/>
  <c r="Z32" i="65" s="1"/>
  <c r="Z110" i="65" s="1"/>
  <c r="AJ68" i="82"/>
  <c r="AJ207" i="105"/>
  <c r="AJ80" i="82" s="1"/>
  <c r="AJ206" i="105"/>
  <c r="AJ79" i="82" s="1"/>
  <c r="U400" i="41"/>
  <c r="U405" i="41" s="1"/>
  <c r="U414" i="41" s="1"/>
  <c r="U401" i="41"/>
  <c r="U404" i="41" s="1"/>
  <c r="U413" i="41" s="1"/>
  <c r="U406" i="41"/>
  <c r="U415" i="41" s="1"/>
  <c r="U34" i="65" s="1"/>
  <c r="U112" i="65" s="1"/>
  <c r="U141" i="65" s="1"/>
  <c r="U170" i="65" s="1"/>
  <c r="U75" i="105" s="1"/>
  <c r="U195" i="105" s="1"/>
  <c r="AD406" i="41"/>
  <c r="AD415" i="41" s="1"/>
  <c r="AD423" i="41"/>
  <c r="AD427" i="41" s="1"/>
  <c r="AA406" i="41"/>
  <c r="AA415" i="41" s="1"/>
  <c r="AA34" i="65" s="1"/>
  <c r="AA112" i="65" s="1"/>
  <c r="X400" i="41"/>
  <c r="X405" i="41" s="1"/>
  <c r="X414" i="41" s="1"/>
  <c r="X33" i="65" s="1"/>
  <c r="X111" i="65" s="1"/>
  <c r="X39" i="82" s="1"/>
  <c r="X399" i="41"/>
  <c r="X401" i="41"/>
  <c r="X404" i="41" s="1"/>
  <c r="X413" i="41" s="1"/>
  <c r="X32" i="65" s="1"/>
  <c r="X110" i="65" s="1"/>
  <c r="J406" i="41"/>
  <c r="J415" i="41" s="1"/>
  <c r="J34" i="65" s="1"/>
  <c r="J112" i="65" s="1"/>
  <c r="J132" i="65" s="1"/>
  <c r="J161" i="65" s="1"/>
  <c r="J66" i="105" s="1"/>
  <c r="J184" i="105" s="1"/>
  <c r="J423" i="41"/>
  <c r="T406" i="41"/>
  <c r="T415" i="41" s="1"/>
  <c r="AG200" i="105"/>
  <c r="AC34" i="65"/>
  <c r="AC112" i="65" s="1"/>
  <c r="AC40" i="82" s="1"/>
  <c r="AE34" i="65"/>
  <c r="AE112" i="65" s="1"/>
  <c r="AE40" i="82" s="1"/>
  <c r="AF34" i="65"/>
  <c r="AF112" i="65" s="1"/>
  <c r="AF40" i="82" s="1"/>
  <c r="M121" i="65"/>
  <c r="M150" i="65" s="1"/>
  <c r="M55" i="105" s="1"/>
  <c r="M95" i="105" s="1"/>
  <c r="M140" i="65"/>
  <c r="M169" i="65" s="1"/>
  <c r="M74" i="105" s="1"/>
  <c r="M194" i="105" s="1"/>
  <c r="J32" i="65"/>
  <c r="J110" i="65" s="1"/>
  <c r="J139" i="65" s="1"/>
  <c r="J168" i="65" s="1"/>
  <c r="J73" i="105" s="1"/>
  <c r="J193" i="105" s="1"/>
  <c r="M131" i="65"/>
  <c r="M160" i="65" s="1"/>
  <c r="M65" i="105" s="1"/>
  <c r="M183" i="105" s="1"/>
  <c r="M122" i="65"/>
  <c r="M151" i="65" s="1"/>
  <c r="M56" i="105" s="1"/>
  <c r="M96" i="105" s="1"/>
  <c r="M141" i="65"/>
  <c r="M170" i="65" s="1"/>
  <c r="M75" i="105" s="1"/>
  <c r="M195" i="105" s="1"/>
  <c r="M123" i="65"/>
  <c r="M152" i="65" s="1"/>
  <c r="M57" i="105" s="1"/>
  <c r="M97" i="105" s="1"/>
  <c r="M139" i="65"/>
  <c r="M168" i="65" s="1"/>
  <c r="M73" i="105" s="1"/>
  <c r="M193" i="105" s="1"/>
  <c r="M130" i="65"/>
  <c r="M159" i="65" s="1"/>
  <c r="M64" i="105" s="1"/>
  <c r="M182" i="105" s="1"/>
  <c r="AF33" i="65"/>
  <c r="AF111" i="65" s="1"/>
  <c r="AF39" i="82" s="1"/>
  <c r="M40" i="82"/>
  <c r="O33" i="65"/>
  <c r="O111" i="65" s="1"/>
  <c r="O39" i="82" s="1"/>
  <c r="O34" i="65"/>
  <c r="O112" i="65" s="1"/>
  <c r="O141" i="65" s="1"/>
  <c r="O170" i="65" s="1"/>
  <c r="O75" i="105" s="1"/>
  <c r="O195" i="105" s="1"/>
  <c r="O32" i="65"/>
  <c r="O110" i="65" s="1"/>
  <c r="O38" i="82" s="1"/>
  <c r="AG115" i="105"/>
  <c r="AG102" i="105"/>
  <c r="M107" i="105"/>
  <c r="P121" i="65"/>
  <c r="P150" i="65" s="1"/>
  <c r="P55" i="105" s="1"/>
  <c r="P95" i="105" s="1"/>
  <c r="P38" i="82"/>
  <c r="P122" i="65"/>
  <c r="P151" i="65" s="1"/>
  <c r="P56" i="105" s="1"/>
  <c r="P96" i="105" s="1"/>
  <c r="P39" i="82"/>
  <c r="P123" i="65"/>
  <c r="P152" i="65" s="1"/>
  <c r="P57" i="105" s="1"/>
  <c r="P97" i="105" s="1"/>
  <c r="P40" i="82"/>
  <c r="AG105" i="105"/>
  <c r="AG189" i="105"/>
  <c r="AG106" i="105"/>
  <c r="AG116" i="105"/>
  <c r="V33" i="65"/>
  <c r="V111" i="65" s="1"/>
  <c r="V39" i="82" s="1"/>
  <c r="Y34" i="65"/>
  <c r="Y112" i="65" s="1"/>
  <c r="Y40" i="82" s="1"/>
  <c r="N34" i="65"/>
  <c r="N112" i="65" s="1"/>
  <c r="P131" i="65"/>
  <c r="P160" i="65" s="1"/>
  <c r="P65" i="105" s="1"/>
  <c r="P183" i="105" s="1"/>
  <c r="N33" i="65"/>
  <c r="N111" i="65" s="1"/>
  <c r="N39" i="82" s="1"/>
  <c r="P140" i="65"/>
  <c r="P169" i="65" s="1"/>
  <c r="P74" i="105" s="1"/>
  <c r="P194" i="105" s="1"/>
  <c r="P141" i="65"/>
  <c r="P170" i="65" s="1"/>
  <c r="P75" i="105" s="1"/>
  <c r="P195" i="105" s="1"/>
  <c r="P130" i="65"/>
  <c r="P159" i="65" s="1"/>
  <c r="P64" i="105" s="1"/>
  <c r="P182" i="105" s="1"/>
  <c r="P139" i="65"/>
  <c r="P168" i="65" s="1"/>
  <c r="P73" i="105" s="1"/>
  <c r="P193" i="105" s="1"/>
  <c r="N121" i="65"/>
  <c r="N150" i="65" s="1"/>
  <c r="N55" i="105" s="1"/>
  <c r="N95" i="105" s="1"/>
  <c r="N139" i="65"/>
  <c r="N168" i="65" s="1"/>
  <c r="N73" i="105" s="1"/>
  <c r="N193" i="105" s="1"/>
  <c r="N130" i="65"/>
  <c r="N159" i="65" s="1"/>
  <c r="N64" i="105" s="1"/>
  <c r="N182" i="105" s="1"/>
  <c r="Z34" i="65"/>
  <c r="Z112" i="65" s="1"/>
  <c r="Z40" i="82" s="1"/>
  <c r="P132" i="65"/>
  <c r="P161" i="65" s="1"/>
  <c r="P66" i="105" s="1"/>
  <c r="P184" i="105" s="1"/>
  <c r="T423" i="41" l="1"/>
  <c r="T427" i="41" s="1"/>
  <c r="Y423" i="41"/>
  <c r="Y427" i="41" s="1"/>
  <c r="S423" i="41"/>
  <c r="S427" i="41" s="1"/>
  <c r="AA423" i="41"/>
  <c r="AA427" i="41" s="1"/>
  <c r="S406" i="41"/>
  <c r="S415" i="41" s="1"/>
  <c r="S34" i="65" s="1"/>
  <c r="S112" i="65" s="1"/>
  <c r="S40" i="82" s="1"/>
  <c r="V130" i="65"/>
  <c r="V159" i="65" s="1"/>
  <c r="V64" i="105" s="1"/>
  <c r="V182" i="105" s="1"/>
  <c r="V121" i="65"/>
  <c r="V150" i="65" s="1"/>
  <c r="V55" i="105" s="1"/>
  <c r="V95" i="105" s="1"/>
  <c r="Z423" i="41"/>
  <c r="Z427" i="41" s="1"/>
  <c r="V423" i="41"/>
  <c r="V427" i="41" s="1"/>
  <c r="V139" i="65"/>
  <c r="V168" i="65" s="1"/>
  <c r="V73" i="105" s="1"/>
  <c r="V193" i="105" s="1"/>
  <c r="X140" i="65"/>
  <c r="X169" i="65" s="1"/>
  <c r="X74" i="105" s="1"/>
  <c r="X194" i="105" s="1"/>
  <c r="X122" i="65"/>
  <c r="X151" i="65" s="1"/>
  <c r="X56" i="105" s="1"/>
  <c r="X96" i="105" s="1"/>
  <c r="AG146" i="105"/>
  <c r="AG69" i="82" s="1"/>
  <c r="AG174" i="105"/>
  <c r="AG71" i="82" s="1"/>
  <c r="U423" i="41"/>
  <c r="U427" i="41" s="1"/>
  <c r="J427" i="41"/>
  <c r="X406" i="41"/>
  <c r="X415" i="41" s="1"/>
  <c r="X34" i="65" s="1"/>
  <c r="X112" i="65" s="1"/>
  <c r="X141" i="65" s="1"/>
  <c r="X170" i="65" s="1"/>
  <c r="X75" i="105" s="1"/>
  <c r="X195" i="105" s="1"/>
  <c r="X423" i="41"/>
  <c r="X427" i="41" s="1"/>
  <c r="AA140" i="65"/>
  <c r="AA169" i="65" s="1"/>
  <c r="AA74" i="105" s="1"/>
  <c r="AA194" i="105" s="1"/>
  <c r="U132" i="65"/>
  <c r="U161" i="65" s="1"/>
  <c r="U66" i="105" s="1"/>
  <c r="U184" i="105" s="1"/>
  <c r="T32" i="65"/>
  <c r="T110" i="65" s="1"/>
  <c r="T130" i="65" s="1"/>
  <c r="T159" i="65" s="1"/>
  <c r="T64" i="105" s="1"/>
  <c r="T182" i="105" s="1"/>
  <c r="T34" i="65"/>
  <c r="T112" i="65" s="1"/>
  <c r="T40" i="82" s="1"/>
  <c r="U40" i="82"/>
  <c r="U32" i="65"/>
  <c r="U110" i="65" s="1"/>
  <c r="U121" i="65" s="1"/>
  <c r="U150" i="65" s="1"/>
  <c r="U55" i="105" s="1"/>
  <c r="U95" i="105" s="1"/>
  <c r="T122" i="65"/>
  <c r="T151" i="65" s="1"/>
  <c r="T56" i="105" s="1"/>
  <c r="T96" i="105" s="1"/>
  <c r="U123" i="65"/>
  <c r="U152" i="65" s="1"/>
  <c r="U57" i="105" s="1"/>
  <c r="U97" i="105" s="1"/>
  <c r="T131" i="65"/>
  <c r="T160" i="65" s="1"/>
  <c r="T65" i="105" s="1"/>
  <c r="T183" i="105" s="1"/>
  <c r="AA122" i="65"/>
  <c r="AA151" i="65" s="1"/>
  <c r="AA56" i="105" s="1"/>
  <c r="AA96" i="105" s="1"/>
  <c r="T140" i="65"/>
  <c r="T169" i="65" s="1"/>
  <c r="T74" i="105" s="1"/>
  <c r="T194" i="105" s="1"/>
  <c r="U33" i="65"/>
  <c r="U111" i="65" s="1"/>
  <c r="U140" i="65" s="1"/>
  <c r="U169" i="65" s="1"/>
  <c r="U74" i="105" s="1"/>
  <c r="U194" i="105" s="1"/>
  <c r="AA32" i="65"/>
  <c r="AA110" i="65" s="1"/>
  <c r="AA38" i="82" s="1"/>
  <c r="AE123" i="65"/>
  <c r="AE152" i="65" s="1"/>
  <c r="AE57" i="105" s="1"/>
  <c r="AE97" i="105" s="1"/>
  <c r="AE33" i="65"/>
  <c r="AE111" i="65" s="1"/>
  <c r="AE39" i="82" s="1"/>
  <c r="AE141" i="65"/>
  <c r="AE170" i="65" s="1"/>
  <c r="AE75" i="105" s="1"/>
  <c r="AE195" i="105" s="1"/>
  <c r="AF32" i="65"/>
  <c r="AF110" i="65" s="1"/>
  <c r="AF38" i="82" s="1"/>
  <c r="AE32" i="65"/>
  <c r="AE110" i="65" s="1"/>
  <c r="AE38" i="82" s="1"/>
  <c r="AC33" i="65"/>
  <c r="AC111" i="65" s="1"/>
  <c r="AC39" i="82" s="1"/>
  <c r="AC32" i="65"/>
  <c r="AC110" i="65" s="1"/>
  <c r="AC38" i="82" s="1"/>
  <c r="AD33" i="65"/>
  <c r="AD111" i="65" s="1"/>
  <c r="AD32" i="65"/>
  <c r="AD110" i="65" s="1"/>
  <c r="M115" i="105"/>
  <c r="M102" i="105"/>
  <c r="M116" i="105"/>
  <c r="J130" i="65"/>
  <c r="J159" i="65" s="1"/>
  <c r="J64" i="105" s="1"/>
  <c r="J182" i="105" s="1"/>
  <c r="J38" i="82"/>
  <c r="J121" i="65"/>
  <c r="J150" i="65" s="1"/>
  <c r="J55" i="105" s="1"/>
  <c r="J95" i="105" s="1"/>
  <c r="O132" i="65"/>
  <c r="O161" i="65" s="1"/>
  <c r="AC123" i="65"/>
  <c r="AC152" i="65" s="1"/>
  <c r="AC57" i="105" s="1"/>
  <c r="AC97" i="105" s="1"/>
  <c r="O123" i="65"/>
  <c r="O152" i="65" s="1"/>
  <c r="O57" i="105" s="1"/>
  <c r="O97" i="105" s="1"/>
  <c r="AC141" i="65"/>
  <c r="AC170" i="65" s="1"/>
  <c r="AC75" i="105" s="1"/>
  <c r="AC195" i="105" s="1"/>
  <c r="M106" i="105"/>
  <c r="M189" i="105"/>
  <c r="O139" i="65"/>
  <c r="O168" i="65" s="1"/>
  <c r="O73" i="105" s="1"/>
  <c r="O193" i="105" s="1"/>
  <c r="O40" i="82"/>
  <c r="M105" i="105"/>
  <c r="O122" i="65"/>
  <c r="O151" i="65" s="1"/>
  <c r="O56" i="105" s="1"/>
  <c r="O96" i="105" s="1"/>
  <c r="M200" i="105"/>
  <c r="O131" i="65"/>
  <c r="O160" i="65" s="1"/>
  <c r="O65" i="105" s="1"/>
  <c r="O183" i="105" s="1"/>
  <c r="AG122" i="105"/>
  <c r="AG148" i="105" s="1"/>
  <c r="M117" i="105"/>
  <c r="O140" i="65"/>
  <c r="O169" i="65" s="1"/>
  <c r="O74" i="105" s="1"/>
  <c r="O194" i="105" s="1"/>
  <c r="O121" i="65"/>
  <c r="O150" i="65" s="1"/>
  <c r="O55" i="105" s="1"/>
  <c r="O95" i="105" s="1"/>
  <c r="O130" i="65"/>
  <c r="O159" i="65" s="1"/>
  <c r="O64" i="105" s="1"/>
  <c r="O182" i="105" s="1"/>
  <c r="AG140" i="105"/>
  <c r="S33" i="65"/>
  <c r="S111" i="65" s="1"/>
  <c r="S32" i="65"/>
  <c r="S110" i="65" s="1"/>
  <c r="S38" i="82" s="1"/>
  <c r="P102" i="105"/>
  <c r="O117" i="105"/>
  <c r="V132" i="65"/>
  <c r="V161" i="65" s="1"/>
  <c r="V66" i="105" s="1"/>
  <c r="V184" i="105" s="1"/>
  <c r="V40" i="82"/>
  <c r="Z139" i="65"/>
  <c r="Z168" i="65" s="1"/>
  <c r="Z73" i="105" s="1"/>
  <c r="Z193" i="105" s="1"/>
  <c r="Z38" i="82"/>
  <c r="X139" i="65"/>
  <c r="X168" i="65" s="1"/>
  <c r="X73" i="105" s="1"/>
  <c r="X193" i="105" s="1"/>
  <c r="X38" i="82"/>
  <c r="N141" i="65"/>
  <c r="N170" i="65" s="1"/>
  <c r="N75" i="105" s="1"/>
  <c r="N195" i="105" s="1"/>
  <c r="N40" i="82"/>
  <c r="AA141" i="65"/>
  <c r="AA170" i="65" s="1"/>
  <c r="AA75" i="105" s="1"/>
  <c r="AA195" i="105" s="1"/>
  <c r="AA40" i="82"/>
  <c r="Z140" i="65"/>
  <c r="Z169" i="65" s="1"/>
  <c r="Z74" i="105" s="1"/>
  <c r="Z194" i="105" s="1"/>
  <c r="Z39" i="82"/>
  <c r="AG112" i="105"/>
  <c r="AG147" i="105" s="1"/>
  <c r="P200" i="105"/>
  <c r="P189" i="105"/>
  <c r="U117" i="105"/>
  <c r="P117" i="105"/>
  <c r="N105" i="105"/>
  <c r="P116" i="105"/>
  <c r="P107" i="105"/>
  <c r="N115" i="105"/>
  <c r="P115" i="105"/>
  <c r="P106" i="105"/>
  <c r="P105" i="105"/>
  <c r="J141" i="65"/>
  <c r="J170" i="65" s="1"/>
  <c r="J75" i="105" s="1"/>
  <c r="J195" i="105" s="1"/>
  <c r="J40" i="82"/>
  <c r="J123" i="65"/>
  <c r="J152" i="65" s="1"/>
  <c r="J57" i="105" s="1"/>
  <c r="J97" i="105" s="1"/>
  <c r="J33" i="65"/>
  <c r="J111" i="65" s="1"/>
  <c r="J131" i="65" s="1"/>
  <c r="J160" i="65" s="1"/>
  <c r="J65" i="105" s="1"/>
  <c r="J183" i="105" s="1"/>
  <c r="N132" i="65"/>
  <c r="N161" i="65" s="1"/>
  <c r="N66" i="105" s="1"/>
  <c r="N184" i="105" s="1"/>
  <c r="N123" i="65"/>
  <c r="N152" i="65" s="1"/>
  <c r="N57" i="105" s="1"/>
  <c r="N97" i="105" s="1"/>
  <c r="AA123" i="65"/>
  <c r="AA152" i="65" s="1"/>
  <c r="AA57" i="105" s="1"/>
  <c r="AA97" i="105" s="1"/>
  <c r="J115" i="105"/>
  <c r="Z122" i="65"/>
  <c r="Z151" i="65" s="1"/>
  <c r="Z56" i="105" s="1"/>
  <c r="Z96" i="105" s="1"/>
  <c r="X121" i="65"/>
  <c r="X150" i="65" s="1"/>
  <c r="X55" i="105" s="1"/>
  <c r="X95" i="105" s="1"/>
  <c r="V122" i="65"/>
  <c r="V151" i="65" s="1"/>
  <c r="V56" i="105" s="1"/>
  <c r="V96" i="105" s="1"/>
  <c r="V131" i="65"/>
  <c r="V160" i="65" s="1"/>
  <c r="V65" i="105" s="1"/>
  <c r="V183" i="105" s="1"/>
  <c r="V140" i="65"/>
  <c r="V169" i="65" s="1"/>
  <c r="V74" i="105" s="1"/>
  <c r="V194" i="105" s="1"/>
  <c r="N131" i="65"/>
  <c r="N160" i="65" s="1"/>
  <c r="N65" i="105" s="1"/>
  <c r="N183" i="105" s="1"/>
  <c r="N122" i="65"/>
  <c r="N151" i="65" s="1"/>
  <c r="N56" i="105" s="1"/>
  <c r="N96" i="105" s="1"/>
  <c r="V123" i="65"/>
  <c r="V152" i="65" s="1"/>
  <c r="V57" i="105" s="1"/>
  <c r="V97" i="105" s="1"/>
  <c r="Z123" i="65"/>
  <c r="Z152" i="65" s="1"/>
  <c r="Z57" i="105" s="1"/>
  <c r="Z97" i="105" s="1"/>
  <c r="Z141" i="65"/>
  <c r="Z170" i="65" s="1"/>
  <c r="Z75" i="105" s="1"/>
  <c r="Z195" i="105" s="1"/>
  <c r="V141" i="65"/>
  <c r="V170" i="65" s="1"/>
  <c r="V75" i="105" s="1"/>
  <c r="V195" i="105" s="1"/>
  <c r="N140" i="65"/>
  <c r="N169" i="65" s="1"/>
  <c r="N74" i="105" s="1"/>
  <c r="N194" i="105" s="1"/>
  <c r="Z121" i="65"/>
  <c r="Z150" i="65" s="1"/>
  <c r="Z55" i="105" s="1"/>
  <c r="Z95" i="105" s="1"/>
  <c r="Y32" i="65"/>
  <c r="Y110" i="65" s="1"/>
  <c r="Y38" i="82" s="1"/>
  <c r="AF122" i="65"/>
  <c r="AF151" i="65" s="1"/>
  <c r="AF56" i="105" s="1"/>
  <c r="AF96" i="105" s="1"/>
  <c r="AF140" i="65"/>
  <c r="AF169" i="65" s="1"/>
  <c r="AF74" i="105" s="1"/>
  <c r="AF194" i="105" s="1"/>
  <c r="AF141" i="65"/>
  <c r="AF170" i="65" s="1"/>
  <c r="AF75" i="105" s="1"/>
  <c r="AF195" i="105" s="1"/>
  <c r="AF123" i="65"/>
  <c r="AF152" i="65" s="1"/>
  <c r="AF57" i="105" s="1"/>
  <c r="AF97" i="105" s="1"/>
  <c r="J107" i="105"/>
  <c r="Y140" i="65"/>
  <c r="Y169" i="65" s="1"/>
  <c r="Y74" i="105" s="1"/>
  <c r="Y194" i="105" s="1"/>
  <c r="Y122" i="65"/>
  <c r="Y151" i="65" s="1"/>
  <c r="Y56" i="105" s="1"/>
  <c r="Y96" i="105" s="1"/>
  <c r="Y123" i="65"/>
  <c r="Y152" i="65" s="1"/>
  <c r="Y57" i="105" s="1"/>
  <c r="Y97" i="105" s="1"/>
  <c r="Y141" i="65"/>
  <c r="Y170" i="65" s="1"/>
  <c r="Y75" i="105" s="1"/>
  <c r="Y195" i="105" s="1"/>
  <c r="V105" i="105" l="1"/>
  <c r="X40" i="82"/>
  <c r="V115" i="105"/>
  <c r="X123" i="65"/>
  <c r="X152" i="65" s="1"/>
  <c r="X57" i="105" s="1"/>
  <c r="X97" i="105" s="1"/>
  <c r="X102" i="105" s="1"/>
  <c r="X174" i="105" s="1"/>
  <c r="T38" i="82"/>
  <c r="T121" i="65"/>
  <c r="T150" i="65" s="1"/>
  <c r="T55" i="105" s="1"/>
  <c r="T95" i="105" s="1"/>
  <c r="T139" i="65"/>
  <c r="T168" i="65" s="1"/>
  <c r="T73" i="105" s="1"/>
  <c r="T193" i="105" s="1"/>
  <c r="AC122" i="65"/>
  <c r="AC151" i="65" s="1"/>
  <c r="AC56" i="105" s="1"/>
  <c r="AC96" i="105" s="1"/>
  <c r="X116" i="105"/>
  <c r="H427" i="41"/>
  <c r="M174" i="105"/>
  <c r="M71" i="82" s="1"/>
  <c r="AG68" i="82"/>
  <c r="AG206" i="105"/>
  <c r="AG79" i="82" s="1"/>
  <c r="AG207" i="105"/>
  <c r="AG80" i="82" s="1"/>
  <c r="P174" i="105"/>
  <c r="P71" i="82" s="1"/>
  <c r="AA116" i="105"/>
  <c r="U38" i="82"/>
  <c r="H423" i="41"/>
  <c r="U39" i="82"/>
  <c r="T123" i="65"/>
  <c r="T152" i="65" s="1"/>
  <c r="T57" i="105" s="1"/>
  <c r="T97" i="105" s="1"/>
  <c r="U131" i="65"/>
  <c r="U160" i="65" s="1"/>
  <c r="U65" i="105" s="1"/>
  <c r="U183" i="105" s="1"/>
  <c r="T105" i="105"/>
  <c r="U107" i="105"/>
  <c r="U122" i="65"/>
  <c r="U151" i="65" s="1"/>
  <c r="U56" i="105" s="1"/>
  <c r="U96" i="105" s="1"/>
  <c r="U102" i="105" s="1"/>
  <c r="AA121" i="65"/>
  <c r="AA150" i="65" s="1"/>
  <c r="AA55" i="105" s="1"/>
  <c r="AA95" i="105" s="1"/>
  <c r="AA102" i="105" s="1"/>
  <c r="AA174" i="105" s="1"/>
  <c r="AE117" i="105"/>
  <c r="T141" i="65"/>
  <c r="T170" i="65" s="1"/>
  <c r="T75" i="105" s="1"/>
  <c r="T195" i="105" s="1"/>
  <c r="AC121" i="65"/>
  <c r="AC150" i="65" s="1"/>
  <c r="AC55" i="105" s="1"/>
  <c r="AC95" i="105" s="1"/>
  <c r="AF121" i="65"/>
  <c r="AF150" i="65" s="1"/>
  <c r="AF55" i="105" s="1"/>
  <c r="AF95" i="105" s="1"/>
  <c r="AF102" i="105" s="1"/>
  <c r="AF174" i="105" s="1"/>
  <c r="AA139" i="65"/>
  <c r="AA168" i="65" s="1"/>
  <c r="AA73" i="105" s="1"/>
  <c r="AA193" i="105" s="1"/>
  <c r="AA200" i="105" s="1"/>
  <c r="T132" i="65"/>
  <c r="T161" i="65" s="1"/>
  <c r="T66" i="105" s="1"/>
  <c r="T184" i="105" s="1"/>
  <c r="T189" i="105" s="1"/>
  <c r="T106" i="105"/>
  <c r="AE121" i="65"/>
  <c r="AE150" i="65" s="1"/>
  <c r="AE55" i="105" s="1"/>
  <c r="AE95" i="105" s="1"/>
  <c r="AE139" i="65"/>
  <c r="AE168" i="65" s="1"/>
  <c r="AE73" i="105" s="1"/>
  <c r="AE193" i="105" s="1"/>
  <c r="S141" i="65"/>
  <c r="S170" i="65" s="1"/>
  <c r="S75" i="105" s="1"/>
  <c r="S195" i="105" s="1"/>
  <c r="U139" i="65"/>
  <c r="U168" i="65" s="1"/>
  <c r="U73" i="105" s="1"/>
  <c r="U193" i="105" s="1"/>
  <c r="U200" i="105" s="1"/>
  <c r="U130" i="65"/>
  <c r="U159" i="65" s="1"/>
  <c r="U64" i="105" s="1"/>
  <c r="U182" i="105" s="1"/>
  <c r="AC140" i="65"/>
  <c r="AC169" i="65" s="1"/>
  <c r="AC74" i="105" s="1"/>
  <c r="AC194" i="105" s="1"/>
  <c r="AE122" i="65"/>
  <c r="AE151" i="65" s="1"/>
  <c r="AE56" i="105" s="1"/>
  <c r="AE96" i="105" s="1"/>
  <c r="T116" i="105"/>
  <c r="AE140" i="65"/>
  <c r="AE169" i="65" s="1"/>
  <c r="AE74" i="105" s="1"/>
  <c r="AE194" i="105" s="1"/>
  <c r="M140" i="105"/>
  <c r="AF139" i="65"/>
  <c r="AF168" i="65" s="1"/>
  <c r="AF73" i="105" s="1"/>
  <c r="AF193" i="105" s="1"/>
  <c r="AF200" i="105" s="1"/>
  <c r="M146" i="105"/>
  <c r="M69" i="82" s="1"/>
  <c r="AC139" i="65"/>
  <c r="AC168" i="65" s="1"/>
  <c r="AC73" i="105" s="1"/>
  <c r="AC193" i="105" s="1"/>
  <c r="AD38" i="82"/>
  <c r="AD121" i="65"/>
  <c r="AD150" i="65" s="1"/>
  <c r="AD55" i="105" s="1"/>
  <c r="AD95" i="105" s="1"/>
  <c r="AD139" i="65"/>
  <c r="AD168" i="65" s="1"/>
  <c r="AD73" i="105" s="1"/>
  <c r="AD34" i="65"/>
  <c r="AD112" i="65" s="1"/>
  <c r="AD39" i="82"/>
  <c r="AD122" i="65"/>
  <c r="AD151" i="65" s="1"/>
  <c r="AD56" i="105" s="1"/>
  <c r="AD96" i="105" s="1"/>
  <c r="AD140" i="65"/>
  <c r="AD169" i="65" s="1"/>
  <c r="AD74" i="105" s="1"/>
  <c r="H431" i="41" a="1"/>
  <c r="H431" i="41" s="1"/>
  <c r="M122" i="105"/>
  <c r="M148" i="105" s="1"/>
  <c r="J105" i="105"/>
  <c r="AC117" i="105"/>
  <c r="S121" i="65"/>
  <c r="S150" i="65" s="1"/>
  <c r="S55" i="105" s="1"/>
  <c r="S95" i="105" s="1"/>
  <c r="O115" i="105"/>
  <c r="M112" i="105"/>
  <c r="M147" i="105" s="1"/>
  <c r="S132" i="65"/>
  <c r="S161" i="65" s="1"/>
  <c r="S66" i="105" s="1"/>
  <c r="S184" i="105" s="1"/>
  <c r="O200" i="105"/>
  <c r="S123" i="65"/>
  <c r="S152" i="65" s="1"/>
  <c r="S57" i="105" s="1"/>
  <c r="S97" i="105" s="1"/>
  <c r="AG142" i="105"/>
  <c r="S139" i="65"/>
  <c r="S168" i="65" s="1"/>
  <c r="S73" i="105" s="1"/>
  <c r="S193" i="105" s="1"/>
  <c r="O102" i="105"/>
  <c r="P140" i="105"/>
  <c r="O106" i="105"/>
  <c r="O116" i="105"/>
  <c r="V189" i="105"/>
  <c r="V107" i="105"/>
  <c r="S130" i="65"/>
  <c r="S159" i="65" s="1"/>
  <c r="S64" i="105" s="1"/>
  <c r="S182" i="105" s="1"/>
  <c r="O105" i="105"/>
  <c r="X115" i="105"/>
  <c r="P146" i="105"/>
  <c r="P69" i="82" s="1"/>
  <c r="S39" i="82"/>
  <c r="S122" i="65"/>
  <c r="S151" i="65" s="1"/>
  <c r="S56" i="105" s="1"/>
  <c r="S96" i="105" s="1"/>
  <c r="S140" i="65"/>
  <c r="S169" i="65" s="1"/>
  <c r="S74" i="105" s="1"/>
  <c r="S131" i="65"/>
  <c r="S160" i="65" s="1"/>
  <c r="S65" i="105" s="1"/>
  <c r="N200" i="105"/>
  <c r="AG141" i="105"/>
  <c r="Z200" i="105"/>
  <c r="X117" i="105"/>
  <c r="Z115" i="105"/>
  <c r="Z116" i="105"/>
  <c r="X200" i="105"/>
  <c r="N117" i="105"/>
  <c r="U116" i="105"/>
  <c r="N189" i="105"/>
  <c r="AA117" i="105"/>
  <c r="J117" i="105"/>
  <c r="V200" i="105"/>
  <c r="Z102" i="105"/>
  <c r="Z174" i="105" s="1"/>
  <c r="P112" i="105"/>
  <c r="P122" i="105"/>
  <c r="N116" i="105"/>
  <c r="Y117" i="105"/>
  <c r="AF116" i="105"/>
  <c r="V117" i="105"/>
  <c r="V116" i="105"/>
  <c r="Y116" i="105"/>
  <c r="AF117" i="105"/>
  <c r="Z117" i="105"/>
  <c r="N106" i="105"/>
  <c r="V106" i="105"/>
  <c r="N107" i="105"/>
  <c r="N102" i="105"/>
  <c r="N174" i="105" s="1"/>
  <c r="V102" i="105"/>
  <c r="V174" i="105" s="1"/>
  <c r="J140" i="65"/>
  <c r="J169" i="65" s="1"/>
  <c r="J74" i="105" s="1"/>
  <c r="J122" i="65"/>
  <c r="J151" i="65" s="1"/>
  <c r="J56" i="105" s="1"/>
  <c r="J96" i="105" s="1"/>
  <c r="J39" i="82"/>
  <c r="J189" i="105"/>
  <c r="J106" i="105"/>
  <c r="Y139" i="65"/>
  <c r="Y168" i="65" s="1"/>
  <c r="Y121" i="65"/>
  <c r="Y150" i="65" s="1"/>
  <c r="O66" i="105"/>
  <c r="O184" i="105" s="1"/>
  <c r="O189" i="105" s="1"/>
  <c r="T115" i="105" l="1"/>
  <c r="T102" i="105"/>
  <c r="T140" i="105" s="1"/>
  <c r="U189" i="105"/>
  <c r="AC102" i="105"/>
  <c r="AC140" i="105" s="1"/>
  <c r="T200" i="105"/>
  <c r="U106" i="105"/>
  <c r="U146" i="105"/>
  <c r="U69" i="82" s="1"/>
  <c r="U174" i="105"/>
  <c r="U71" i="82" s="1"/>
  <c r="P68" i="82"/>
  <c r="P207" i="105"/>
  <c r="P80" i="82" s="1"/>
  <c r="P206" i="105"/>
  <c r="P79" i="82" s="1"/>
  <c r="M68" i="82"/>
  <c r="M207" i="105"/>
  <c r="M80" i="82" s="1"/>
  <c r="M206" i="105"/>
  <c r="M79" i="82" s="1"/>
  <c r="AC115" i="105"/>
  <c r="O146" i="105"/>
  <c r="O69" i="82" s="1"/>
  <c r="O174" i="105"/>
  <c r="O71" i="82" s="1"/>
  <c r="H433" i="41"/>
  <c r="AE200" i="105"/>
  <c r="S117" i="105"/>
  <c r="AA115" i="105"/>
  <c r="AA122" i="105" s="1"/>
  <c r="AA142" i="105" s="1"/>
  <c r="U105" i="105"/>
  <c r="T107" i="105"/>
  <c r="T112" i="105" s="1"/>
  <c r="T141" i="105" s="1"/>
  <c r="T117" i="105"/>
  <c r="AC200" i="105"/>
  <c r="AC116" i="105"/>
  <c r="AE115" i="105"/>
  <c r="U115" i="105"/>
  <c r="U122" i="105" s="1"/>
  <c r="U148" i="105" s="1"/>
  <c r="AE102" i="105"/>
  <c r="AF115" i="105"/>
  <c r="AF122" i="105" s="1"/>
  <c r="AE116" i="105"/>
  <c r="AD194" i="105"/>
  <c r="AD116" i="105"/>
  <c r="AD40" i="82"/>
  <c r="AD141" i="65"/>
  <c r="AD170" i="65" s="1"/>
  <c r="AD75" i="105" s="1"/>
  <c r="AD123" i="65"/>
  <c r="AD152" i="65" s="1"/>
  <c r="AD57" i="105" s="1"/>
  <c r="AD97" i="105" s="1"/>
  <c r="H97" i="105" s="1"/>
  <c r="AD193" i="105"/>
  <c r="AD115" i="105"/>
  <c r="M142" i="105"/>
  <c r="S107" i="105"/>
  <c r="O122" i="105"/>
  <c r="O142" i="105" s="1"/>
  <c r="M141" i="105"/>
  <c r="S102" i="105"/>
  <c r="S115" i="105"/>
  <c r="O140" i="105"/>
  <c r="H96" i="105"/>
  <c r="X122" i="105"/>
  <c r="X142" i="105" s="1"/>
  <c r="V112" i="105"/>
  <c r="V147" i="105" s="1"/>
  <c r="J50" i="106" a="1"/>
  <c r="J55" i="106" s="1"/>
  <c r="S105" i="105"/>
  <c r="S194" i="105"/>
  <c r="S200" i="105" s="1"/>
  <c r="S116" i="105"/>
  <c r="S183" i="105"/>
  <c r="S189" i="105" s="1"/>
  <c r="S106" i="105"/>
  <c r="N122" i="105"/>
  <c r="N142" i="105" s="1"/>
  <c r="Z122" i="105"/>
  <c r="Z142" i="105" s="1"/>
  <c r="U140" i="105"/>
  <c r="J116" i="105"/>
  <c r="J194" i="105"/>
  <c r="J200" i="105" s="1"/>
  <c r="N140" i="105"/>
  <c r="N146" i="105"/>
  <c r="N69" i="82" s="1"/>
  <c r="N71" i="82"/>
  <c r="AF146" i="105"/>
  <c r="AF69" i="82" s="1"/>
  <c r="AF71" i="82"/>
  <c r="AF140" i="105"/>
  <c r="P142" i="105"/>
  <c r="P148" i="105"/>
  <c r="P141" i="105"/>
  <c r="P147" i="105"/>
  <c r="V140" i="105"/>
  <c r="V146" i="105"/>
  <c r="V69" i="82" s="1"/>
  <c r="V71" i="82"/>
  <c r="X146" i="105"/>
  <c r="X69" i="82" s="1"/>
  <c r="X140" i="105"/>
  <c r="X71" i="82"/>
  <c r="AA140" i="105"/>
  <c r="AA146" i="105"/>
  <c r="AA69" i="82" s="1"/>
  <c r="AA71" i="82"/>
  <c r="Z140" i="105"/>
  <c r="Z146" i="105"/>
  <c r="Z69" i="82" s="1"/>
  <c r="Z71" i="82"/>
  <c r="V122" i="105"/>
  <c r="O107" i="105"/>
  <c r="O112" i="105" s="1"/>
  <c r="N112" i="105"/>
  <c r="J102" i="105"/>
  <c r="H178" i="65" a="1"/>
  <c r="H178" i="65" s="1"/>
  <c r="A4" i="65" s="1"/>
  <c r="J112" i="105"/>
  <c r="Y55" i="105"/>
  <c r="Y95" i="105" s="1"/>
  <c r="Y73" i="105"/>
  <c r="Y193" i="105" s="1"/>
  <c r="Y200" i="105" s="1"/>
  <c r="H106" i="105" l="1"/>
  <c r="T174" i="105"/>
  <c r="T71" i="82" s="1"/>
  <c r="T146" i="105"/>
  <c r="T69" i="82" s="1"/>
  <c r="J174" i="105"/>
  <c r="J71" i="82" s="1"/>
  <c r="J146" i="105"/>
  <c r="J69" i="82" s="1"/>
  <c r="J141" i="105"/>
  <c r="J147" i="105"/>
  <c r="T122" i="105"/>
  <c r="T148" i="105" s="1"/>
  <c r="AC174" i="105"/>
  <c r="AC71" i="82" s="1"/>
  <c r="AC146" i="105"/>
  <c r="AC69" i="82" s="1"/>
  <c r="U112" i="105"/>
  <c r="U141" i="105" s="1"/>
  <c r="AC122" i="105"/>
  <c r="AC142" i="105" s="1"/>
  <c r="A4" i="41"/>
  <c r="J57" i="55"/>
  <c r="U68" i="82"/>
  <c r="U207" i="105"/>
  <c r="U80" i="82" s="1"/>
  <c r="U206" i="105"/>
  <c r="U79" i="82" s="1"/>
  <c r="Z68" i="82"/>
  <c r="Z206" i="105"/>
  <c r="Z207" i="105"/>
  <c r="Z80" i="82" s="1"/>
  <c r="S174" i="105"/>
  <c r="S71" i="82" s="1"/>
  <c r="AF68" i="82"/>
  <c r="AF206" i="105"/>
  <c r="AF207" i="105"/>
  <c r="AF80" i="82" s="1"/>
  <c r="V68" i="82"/>
  <c r="V207" i="105"/>
  <c r="V80" i="82" s="1"/>
  <c r="V206" i="105"/>
  <c r="V79" i="82" s="1"/>
  <c r="T68" i="82"/>
  <c r="T207" i="105"/>
  <c r="T80" i="82" s="1"/>
  <c r="T206" i="105"/>
  <c r="T79" i="82" s="1"/>
  <c r="AA68" i="82"/>
  <c r="AA206" i="105"/>
  <c r="AA207" i="105"/>
  <c r="AA80" i="82" s="1"/>
  <c r="N68" i="82"/>
  <c r="N207" i="105"/>
  <c r="N80" i="82" s="1"/>
  <c r="N206" i="105"/>
  <c r="N79" i="82" s="1"/>
  <c r="AE174" i="105"/>
  <c r="AE71" i="82" s="1"/>
  <c r="X68" i="82"/>
  <c r="X207" i="105"/>
  <c r="X80" i="82" s="1"/>
  <c r="X206" i="105"/>
  <c r="O68" i="82"/>
  <c r="O207" i="105"/>
  <c r="O80" i="82" s="1"/>
  <c r="O206" i="105"/>
  <c r="O79" i="82" s="1"/>
  <c r="AC68" i="82"/>
  <c r="AC207" i="105"/>
  <c r="AC80" i="82" s="1"/>
  <c r="AC206" i="105"/>
  <c r="S122" i="105"/>
  <c r="S142" i="105" s="1"/>
  <c r="H105" i="105"/>
  <c r="T147" i="105"/>
  <c r="AE122" i="105"/>
  <c r="AE142" i="105" s="1"/>
  <c r="AE146" i="105"/>
  <c r="AE69" i="82" s="1"/>
  <c r="AE140" i="105"/>
  <c r="J84" i="106" a="1"/>
  <c r="N85" i="106" s="1"/>
  <c r="S140" i="105"/>
  <c r="J16" i="106" a="1"/>
  <c r="J41" i="106" s="1"/>
  <c r="AD102" i="105"/>
  <c r="AD174" i="105" s="1"/>
  <c r="AD195" i="105"/>
  <c r="AD200" i="105" s="1"/>
  <c r="AD117" i="105"/>
  <c r="H117" i="105" s="1"/>
  <c r="V141" i="105"/>
  <c r="O148" i="105"/>
  <c r="S112" i="105"/>
  <c r="S147" i="105" s="1"/>
  <c r="X148" i="105"/>
  <c r="L55" i="106"/>
  <c r="K72" i="106"/>
  <c r="S146" i="105"/>
  <c r="S69" i="82" s="1"/>
  <c r="O71" i="106"/>
  <c r="O63" i="106"/>
  <c r="M51" i="106"/>
  <c r="O57" i="106"/>
  <c r="M74" i="106"/>
  <c r="J61" i="106"/>
  <c r="L63" i="106"/>
  <c r="P60" i="106"/>
  <c r="K50" i="106"/>
  <c r="O58" i="106"/>
  <c r="M64" i="106"/>
  <c r="L54" i="106"/>
  <c r="P53" i="106"/>
  <c r="J77" i="106"/>
  <c r="O73" i="106"/>
  <c r="J71" i="106"/>
  <c r="P58" i="106"/>
  <c r="J81" i="106"/>
  <c r="O67" i="106"/>
  <c r="K59" i="106"/>
  <c r="J65" i="106"/>
  <c r="N79" i="106"/>
  <c r="O55" i="106"/>
  <c r="L75" i="106"/>
  <c r="L70" i="106"/>
  <c r="P59" i="106"/>
  <c r="M59" i="106"/>
  <c r="K81" i="106"/>
  <c r="M81" i="106"/>
  <c r="L64" i="106"/>
  <c r="P63" i="106"/>
  <c r="P66" i="106"/>
  <c r="L66" i="106"/>
  <c r="N58" i="106"/>
  <c r="L80" i="106"/>
  <c r="J52" i="106"/>
  <c r="N68" i="106"/>
  <c r="P76" i="106"/>
  <c r="O64" i="106"/>
  <c r="N148" i="105"/>
  <c r="M68" i="106"/>
  <c r="M79" i="106"/>
  <c r="M77" i="106"/>
  <c r="M69" i="106"/>
  <c r="J80" i="106"/>
  <c r="O61" i="106"/>
  <c r="M71" i="106"/>
  <c r="J57" i="106"/>
  <c r="N80" i="106"/>
  <c r="J51" i="106"/>
  <c r="J79" i="106"/>
  <c r="P57" i="106"/>
  <c r="J53" i="106"/>
  <c r="H116" i="105"/>
  <c r="U142" i="105"/>
  <c r="M56" i="106"/>
  <c r="K78" i="106"/>
  <c r="K54" i="106"/>
  <c r="O59" i="106"/>
  <c r="N78" i="106"/>
  <c r="P65" i="106"/>
  <c r="M75" i="106"/>
  <c r="N67" i="106"/>
  <c r="K56" i="106"/>
  <c r="N70" i="106"/>
  <c r="M53" i="106"/>
  <c r="K80" i="106"/>
  <c r="O69" i="106"/>
  <c r="L62" i="106"/>
  <c r="O78" i="106"/>
  <c r="P51" i="106"/>
  <c r="L71" i="106"/>
  <c r="M67" i="106"/>
  <c r="L79" i="106"/>
  <c r="N54" i="106"/>
  <c r="L61" i="106"/>
  <c r="O74" i="106"/>
  <c r="N50" i="106"/>
  <c r="N73" i="106"/>
  <c r="O81" i="106"/>
  <c r="O56" i="106"/>
  <c r="M62" i="106"/>
  <c r="O76" i="106"/>
  <c r="J50" i="106"/>
  <c r="J54" i="106"/>
  <c r="M61" i="106"/>
  <c r="K71" i="106"/>
  <c r="P80" i="106"/>
  <c r="M54" i="106"/>
  <c r="L74" i="106"/>
  <c r="P61" i="106"/>
  <c r="O77" i="106"/>
  <c r="K53" i="106"/>
  <c r="L50" i="106"/>
  <c r="P79" i="106"/>
  <c r="K69" i="106"/>
  <c r="P77" i="106"/>
  <c r="AA148" i="105"/>
  <c r="N74" i="106"/>
  <c r="P72" i="106"/>
  <c r="N77" i="106"/>
  <c r="M73" i="106"/>
  <c r="L65" i="106"/>
  <c r="J70" i="106"/>
  <c r="O54" i="106"/>
  <c r="P68" i="106"/>
  <c r="L60" i="106"/>
  <c r="K74" i="106"/>
  <c r="L81" i="106"/>
  <c r="M63" i="106"/>
  <c r="L53" i="106"/>
  <c r="K57" i="106"/>
  <c r="M58" i="106"/>
  <c r="L51" i="106"/>
  <c r="M65" i="106"/>
  <c r="L52" i="106"/>
  <c r="K66" i="106"/>
  <c r="O66" i="106"/>
  <c r="M76" i="106"/>
  <c r="O72" i="106"/>
  <c r="M78" i="106"/>
  <c r="J56" i="106"/>
  <c r="O52" i="106"/>
  <c r="J68" i="106"/>
  <c r="J69" i="106"/>
  <c r="K76" i="106"/>
  <c r="O60" i="106"/>
  <c r="K75" i="106"/>
  <c r="O62" i="106"/>
  <c r="O65" i="106"/>
  <c r="O68" i="106"/>
  <c r="N61" i="106"/>
  <c r="J58" i="106"/>
  <c r="K68" i="106"/>
  <c r="N76" i="106"/>
  <c r="N59" i="106"/>
  <c r="M72" i="106"/>
  <c r="O51" i="106"/>
  <c r="K55" i="106"/>
  <c r="L59" i="106"/>
  <c r="M60" i="106"/>
  <c r="L56" i="106"/>
  <c r="L72" i="106"/>
  <c r="L68" i="106"/>
  <c r="J73" i="106"/>
  <c r="J78" i="106"/>
  <c r="K51" i="106"/>
  <c r="P55" i="106"/>
  <c r="J76" i="106"/>
  <c r="J75" i="106"/>
  <c r="N72" i="106"/>
  <c r="N71" i="106"/>
  <c r="P70" i="106"/>
  <c r="N52" i="106"/>
  <c r="J63" i="106"/>
  <c r="O50" i="106"/>
  <c r="K52" i="106"/>
  <c r="K70" i="106"/>
  <c r="K79" i="106"/>
  <c r="O79" i="106"/>
  <c r="J62" i="106"/>
  <c r="P75" i="106"/>
  <c r="K58" i="106"/>
  <c r="M55" i="106"/>
  <c r="P78" i="106"/>
  <c r="L69" i="106"/>
  <c r="N60" i="106"/>
  <c r="M66" i="106"/>
  <c r="P64" i="106"/>
  <c r="J67" i="106"/>
  <c r="N51" i="106"/>
  <c r="M70" i="106"/>
  <c r="J64" i="106"/>
  <c r="P67" i="106"/>
  <c r="P56" i="106"/>
  <c r="N66" i="106"/>
  <c r="L76" i="106"/>
  <c r="P50" i="106"/>
  <c r="O80" i="106"/>
  <c r="L58" i="106"/>
  <c r="M50" i="106"/>
  <c r="N81" i="106"/>
  <c r="J66" i="106"/>
  <c r="O70" i="106"/>
  <c r="O75" i="106"/>
  <c r="M80" i="106"/>
  <c r="N53" i="106"/>
  <c r="L78" i="106"/>
  <c r="L77" i="106"/>
  <c r="P74" i="106"/>
  <c r="P73" i="106"/>
  <c r="J72" i="106"/>
  <c r="O53" i="106"/>
  <c r="K64" i="106"/>
  <c r="P52" i="106"/>
  <c r="N57" i="106"/>
  <c r="N62" i="106"/>
  <c r="L67" i="106"/>
  <c r="N64" i="106"/>
  <c r="N63" i="106"/>
  <c r="K61" i="106"/>
  <c r="K60" i="106"/>
  <c r="K65" i="106"/>
  <c r="N75" i="106"/>
  <c r="L57" i="106"/>
  <c r="N69" i="106"/>
  <c r="P81" i="106"/>
  <c r="P54" i="106"/>
  <c r="J74" i="106"/>
  <c r="K77" i="106"/>
  <c r="K73" i="106"/>
  <c r="P69" i="106"/>
  <c r="K63" i="106"/>
  <c r="N65" i="106"/>
  <c r="M52" i="106"/>
  <c r="M57" i="106"/>
  <c r="K62" i="106"/>
  <c r="K67" i="106"/>
  <c r="P71" i="106"/>
  <c r="J60" i="106"/>
  <c r="J59" i="106"/>
  <c r="N56" i="106"/>
  <c r="N55" i="106"/>
  <c r="P62" i="106"/>
  <c r="L73" i="106"/>
  <c r="J122" i="105"/>
  <c r="Z148" i="105"/>
  <c r="N147" i="105"/>
  <c r="N141" i="105"/>
  <c r="V142" i="105"/>
  <c r="V148" i="105"/>
  <c r="J140" i="105"/>
  <c r="O147" i="105"/>
  <c r="O141" i="105"/>
  <c r="AF142" i="105"/>
  <c r="AF148" i="105"/>
  <c r="H107" i="105"/>
  <c r="Y115" i="105"/>
  <c r="H115" i="105" s="1"/>
  <c r="Y102" i="105"/>
  <c r="Y174" i="105" s="1"/>
  <c r="H95" i="105"/>
  <c r="H102" i="105" s="1"/>
  <c r="J58" i="55"/>
  <c r="T142" i="105" l="1"/>
  <c r="U147" i="105"/>
  <c r="J142" i="105"/>
  <c r="J148" i="105"/>
  <c r="H112" i="105"/>
  <c r="AC148" i="105"/>
  <c r="S148" i="105"/>
  <c r="AE68" i="82"/>
  <c r="AE207" i="105"/>
  <c r="AE80" i="82" s="1"/>
  <c r="AE206" i="105"/>
  <c r="S68" i="82"/>
  <c r="S206" i="105"/>
  <c r="S79" i="82" s="1"/>
  <c r="S207" i="105"/>
  <c r="S80" i="82" s="1"/>
  <c r="J68" i="82"/>
  <c r="J207" i="105"/>
  <c r="J206" i="105"/>
  <c r="J79" i="82" s="1"/>
  <c r="AE148" i="105"/>
  <c r="K91" i="106"/>
  <c r="O113" i="106"/>
  <c r="L101" i="106"/>
  <c r="P98" i="106"/>
  <c r="P106" i="106"/>
  <c r="P97" i="106"/>
  <c r="K90" i="106"/>
  <c r="M109" i="106"/>
  <c r="M89" i="106"/>
  <c r="O100" i="106"/>
  <c r="P94" i="106"/>
  <c r="N108" i="106"/>
  <c r="J97" i="106"/>
  <c r="P105" i="106"/>
  <c r="M98" i="106"/>
  <c r="J111" i="106"/>
  <c r="M91" i="106"/>
  <c r="J104" i="106"/>
  <c r="J89" i="106"/>
  <c r="K111" i="106"/>
  <c r="J103" i="106"/>
  <c r="N104" i="106"/>
  <c r="K102" i="106"/>
  <c r="N92" i="106"/>
  <c r="N102" i="106"/>
  <c r="J94" i="106"/>
  <c r="L92" i="106"/>
  <c r="M104" i="106"/>
  <c r="O92" i="106"/>
  <c r="L87" i="106"/>
  <c r="P89" i="106"/>
  <c r="O95" i="106"/>
  <c r="L103" i="106"/>
  <c r="M88" i="106"/>
  <c r="O86" i="106"/>
  <c r="M107" i="106"/>
  <c r="P99" i="106"/>
  <c r="N113" i="106"/>
  <c r="J96" i="106"/>
  <c r="P96" i="106"/>
  <c r="N107" i="106"/>
  <c r="M95" i="106"/>
  <c r="K96" i="106"/>
  <c r="O96" i="106"/>
  <c r="L108" i="106"/>
  <c r="K93" i="106"/>
  <c r="N91" i="106"/>
  <c r="M96" i="106"/>
  <c r="J101" i="106"/>
  <c r="L102" i="106"/>
  <c r="J92" i="106"/>
  <c r="L89" i="106"/>
  <c r="N100" i="106"/>
  <c r="J91" i="106"/>
  <c r="J112" i="106"/>
  <c r="J88" i="106"/>
  <c r="J93" i="106"/>
  <c r="N99" i="106"/>
  <c r="N88" i="106"/>
  <c r="L93" i="106"/>
  <c r="O91" i="106"/>
  <c r="N93" i="106"/>
  <c r="L98" i="106"/>
  <c r="P115" i="106"/>
  <c r="M84" i="106"/>
  <c r="K103" i="106"/>
  <c r="M103" i="106"/>
  <c r="J95" i="106"/>
  <c r="M100" i="106"/>
  <c r="O97" i="106"/>
  <c r="N106" i="106"/>
  <c r="K106" i="106"/>
  <c r="K89" i="106"/>
  <c r="K105" i="106"/>
  <c r="P110" i="106"/>
  <c r="K99" i="106"/>
  <c r="N98" i="106"/>
  <c r="K94" i="106"/>
  <c r="J115" i="106"/>
  <c r="M108" i="106"/>
  <c r="L115" i="106"/>
  <c r="L85" i="106"/>
  <c r="N112" i="106"/>
  <c r="K112" i="106"/>
  <c r="O111" i="106"/>
  <c r="L106" i="106"/>
  <c r="K88" i="106"/>
  <c r="N84" i="106"/>
  <c r="O94" i="106"/>
  <c r="K101" i="106"/>
  <c r="J102" i="106"/>
  <c r="O112" i="106"/>
  <c r="P112" i="106"/>
  <c r="K110" i="106"/>
  <c r="P103" i="106"/>
  <c r="K115" i="106"/>
  <c r="O106" i="106"/>
  <c r="P91" i="106"/>
  <c r="K97" i="106"/>
  <c r="L99" i="106"/>
  <c r="O108" i="106"/>
  <c r="N90" i="106"/>
  <c r="L113" i="106"/>
  <c r="M97" i="106"/>
  <c r="M105" i="106"/>
  <c r="K109" i="106"/>
  <c r="M106" i="106"/>
  <c r="L104" i="106"/>
  <c r="L112" i="106"/>
  <c r="P95" i="106"/>
  <c r="K104" i="106"/>
  <c r="J105" i="106"/>
  <c r="J84" i="106"/>
  <c r="O115" i="106"/>
  <c r="P88" i="106"/>
  <c r="N105" i="106"/>
  <c r="M85" i="106"/>
  <c r="P100" i="106"/>
  <c r="L88" i="106"/>
  <c r="M93" i="106"/>
  <c r="L97" i="106"/>
  <c r="M90" i="106"/>
  <c r="P113" i="106"/>
  <c r="K114" i="106"/>
  <c r="O103" i="106"/>
  <c r="J107" i="106"/>
  <c r="O88" i="106"/>
  <c r="O90" i="106"/>
  <c r="L100" i="106"/>
  <c r="O104" i="106"/>
  <c r="J85" i="106"/>
  <c r="P109" i="106"/>
  <c r="O102" i="106"/>
  <c r="N109" i="106"/>
  <c r="P84" i="106"/>
  <c r="P104" i="106"/>
  <c r="L109" i="106"/>
  <c r="J110" i="106"/>
  <c r="M111" i="106"/>
  <c r="K108" i="106"/>
  <c r="K92" i="106"/>
  <c r="J114" i="106"/>
  <c r="P27" i="106"/>
  <c r="O27" i="106"/>
  <c r="L30" i="106"/>
  <c r="M28" i="106"/>
  <c r="L24" i="106"/>
  <c r="N110" i="106"/>
  <c r="P86" i="106"/>
  <c r="N89" i="106"/>
  <c r="L91" i="106"/>
  <c r="O85" i="106"/>
  <c r="O93" i="106"/>
  <c r="O84" i="106"/>
  <c r="P93" i="106"/>
  <c r="M87" i="106"/>
  <c r="J87" i="106"/>
  <c r="M101" i="106"/>
  <c r="O98" i="106"/>
  <c r="N103" i="106"/>
  <c r="O107" i="106"/>
  <c r="J109" i="106"/>
  <c r="N96" i="106"/>
  <c r="L111" i="106"/>
  <c r="N87" i="106"/>
  <c r="K84" i="106"/>
  <c r="N115" i="106"/>
  <c r="O114" i="106"/>
  <c r="O89" i="106"/>
  <c r="M92" i="106"/>
  <c r="P90" i="106"/>
  <c r="N101" i="106"/>
  <c r="M102" i="106"/>
  <c r="J100" i="106"/>
  <c r="L110" i="106"/>
  <c r="L86" i="106"/>
  <c r="P111" i="106"/>
  <c r="O101" i="106"/>
  <c r="K86" i="106"/>
  <c r="J90" i="106"/>
  <c r="P102" i="106"/>
  <c r="P85" i="106"/>
  <c r="O110" i="106"/>
  <c r="K100" i="106"/>
  <c r="O105" i="106"/>
  <c r="O99" i="106"/>
  <c r="L107" i="106"/>
  <c r="K87" i="106"/>
  <c r="N97" i="106"/>
  <c r="J86" i="106"/>
  <c r="N111" i="106"/>
  <c r="K85" i="106"/>
  <c r="K98" i="106"/>
  <c r="M115" i="106"/>
  <c r="L96" i="106"/>
  <c r="M86" i="106"/>
  <c r="L95" i="106"/>
  <c r="P87" i="106"/>
  <c r="K95" i="106"/>
  <c r="J108" i="106"/>
  <c r="K107" i="106"/>
  <c r="L94" i="106"/>
  <c r="M99" i="106"/>
  <c r="L105" i="106"/>
  <c r="O109" i="106"/>
  <c r="P114" i="106"/>
  <c r="M112" i="106"/>
  <c r="L114" i="106"/>
  <c r="P92" i="106"/>
  <c r="K113" i="106"/>
  <c r="L84" i="106"/>
  <c r="N94" i="106"/>
  <c r="M110" i="106"/>
  <c r="L90" i="106"/>
  <c r="J113" i="106"/>
  <c r="P101" i="106"/>
  <c r="N114" i="106"/>
  <c r="J98" i="106"/>
  <c r="P107" i="106"/>
  <c r="J106" i="106"/>
  <c r="M113" i="106"/>
  <c r="M94" i="106"/>
  <c r="N86" i="106"/>
  <c r="J99" i="106"/>
  <c r="P108" i="106"/>
  <c r="N95" i="106"/>
  <c r="M114" i="106"/>
  <c r="O87" i="106"/>
  <c r="AD122" i="105"/>
  <c r="AD142" i="105" s="1"/>
  <c r="P22" i="106"/>
  <c r="L33" i="106"/>
  <c r="N38" i="106"/>
  <c r="M33" i="106"/>
  <c r="J31" i="106"/>
  <c r="N21" i="106"/>
  <c r="M29" i="106"/>
  <c r="N45" i="106"/>
  <c r="L20" i="106"/>
  <c r="P31" i="106"/>
  <c r="M41" i="106"/>
  <c r="M18" i="106"/>
  <c r="L34" i="106"/>
  <c r="P33" i="106"/>
  <c r="K39" i="106"/>
  <c r="K47" i="106"/>
  <c r="J24" i="106"/>
  <c r="N28" i="106"/>
  <c r="J29" i="106"/>
  <c r="J42" i="106"/>
  <c r="M40" i="106"/>
  <c r="K44" i="106"/>
  <c r="M30" i="106"/>
  <c r="O22" i="106"/>
  <c r="M16" i="106"/>
  <c r="P44" i="106"/>
  <c r="J38" i="106"/>
  <c r="K38" i="106"/>
  <c r="L29" i="106"/>
  <c r="M39" i="106"/>
  <c r="O40" i="106"/>
  <c r="L41" i="106"/>
  <c r="P39" i="106"/>
  <c r="O35" i="106"/>
  <c r="K46" i="106"/>
  <c r="N41" i="106"/>
  <c r="M17" i="106"/>
  <c r="J34" i="106"/>
  <c r="O32" i="106"/>
  <c r="M44" i="106"/>
  <c r="K35" i="106"/>
  <c r="L26" i="106"/>
  <c r="M34" i="106"/>
  <c r="O19" i="106"/>
  <c r="K18" i="106"/>
  <c r="J32" i="106"/>
  <c r="K29" i="106"/>
  <c r="J30" i="106"/>
  <c r="P19" i="106"/>
  <c r="O46" i="106"/>
  <c r="L27" i="106"/>
  <c r="P45" i="106"/>
  <c r="J46" i="106"/>
  <c r="J21" i="106"/>
  <c r="N32" i="106"/>
  <c r="O29" i="106"/>
  <c r="K43" i="106"/>
  <c r="O17" i="106"/>
  <c r="J36" i="106"/>
  <c r="M24" i="106"/>
  <c r="P20" i="106"/>
  <c r="M26" i="106"/>
  <c r="N33" i="106"/>
  <c r="O26" i="106"/>
  <c r="L45" i="106"/>
  <c r="J35" i="106"/>
  <c r="L35" i="106"/>
  <c r="K22" i="106"/>
  <c r="O45" i="106"/>
  <c r="P23" i="106"/>
  <c r="K31" i="106"/>
  <c r="P43" i="106"/>
  <c r="O25" i="106"/>
  <c r="K33" i="106"/>
  <c r="L47" i="106"/>
  <c r="J28" i="106"/>
  <c r="K16" i="106"/>
  <c r="J27" i="106"/>
  <c r="J16" i="106"/>
  <c r="O41" i="106"/>
  <c r="N20" i="106"/>
  <c r="L39" i="106"/>
  <c r="M42" i="106"/>
  <c r="M31" i="106"/>
  <c r="N44" i="106"/>
  <c r="K23" i="106"/>
  <c r="L28" i="106"/>
  <c r="L25" i="106"/>
  <c r="L19" i="106"/>
  <c r="N17" i="106"/>
  <c r="P40" i="106"/>
  <c r="M23" i="106"/>
  <c r="K30" i="106"/>
  <c r="N36" i="106"/>
  <c r="N22" i="106"/>
  <c r="M21" i="106"/>
  <c r="P36" i="106"/>
  <c r="M25" i="106"/>
  <c r="J43" i="106"/>
  <c r="K40" i="106"/>
  <c r="N16" i="106"/>
  <c r="M20" i="106"/>
  <c r="P42" i="106"/>
  <c r="K32" i="106"/>
  <c r="K20" i="106"/>
  <c r="O18" i="106"/>
  <c r="L37" i="106"/>
  <c r="L17" i="106"/>
  <c r="J18" i="106"/>
  <c r="O47" i="106"/>
  <c r="J39" i="106"/>
  <c r="M27" i="106"/>
  <c r="L23" i="106"/>
  <c r="L32" i="106"/>
  <c r="K28" i="106"/>
  <c r="J26" i="106"/>
  <c r="M43" i="106"/>
  <c r="M22" i="106"/>
  <c r="K41" i="106"/>
  <c r="O28" i="106"/>
  <c r="J33" i="106"/>
  <c r="M35" i="106"/>
  <c r="K45" i="106"/>
  <c r="L44" i="106"/>
  <c r="P25" i="106"/>
  <c r="M45" i="106"/>
  <c r="N18" i="106"/>
  <c r="J44" i="106"/>
  <c r="O36" i="106"/>
  <c r="K42" i="106"/>
  <c r="O33" i="106"/>
  <c r="P38" i="106"/>
  <c r="P46" i="106"/>
  <c r="K36" i="106"/>
  <c r="L16" i="106"/>
  <c r="K27" i="106"/>
  <c r="N34" i="106"/>
  <c r="P28" i="106"/>
  <c r="L22" i="106"/>
  <c r="L43" i="106"/>
  <c r="O16" i="106"/>
  <c r="K19" i="106"/>
  <c r="N25" i="106"/>
  <c r="L38" i="106"/>
  <c r="P16" i="106"/>
  <c r="K26" i="106"/>
  <c r="K21" i="106"/>
  <c r="P32" i="106"/>
  <c r="O39" i="106"/>
  <c r="P24" i="106"/>
  <c r="K25" i="106"/>
  <c r="M32" i="106"/>
  <c r="N39" i="106"/>
  <c r="N43" i="106"/>
  <c r="N29" i="106"/>
  <c r="K37" i="106"/>
  <c r="J47" i="106"/>
  <c r="J23" i="106"/>
  <c r="J20" i="106"/>
  <c r="N37" i="106"/>
  <c r="O21" i="106"/>
  <c r="N19" i="106"/>
  <c r="P17" i="106"/>
  <c r="J19" i="106"/>
  <c r="P29" i="106"/>
  <c r="M19" i="106"/>
  <c r="O23" i="106"/>
  <c r="P47" i="106"/>
  <c r="P21" i="106"/>
  <c r="N31" i="106"/>
  <c r="O44" i="106"/>
  <c r="S141" i="105"/>
  <c r="O38" i="106"/>
  <c r="N27" i="106"/>
  <c r="J37" i="106"/>
  <c r="K34" i="106"/>
  <c r="O37" i="106"/>
  <c r="L40" i="106"/>
  <c r="N26" i="106"/>
  <c r="L36" i="106"/>
  <c r="J17" i="106"/>
  <c r="M36" i="106"/>
  <c r="O43" i="106"/>
  <c r="N24" i="106"/>
  <c r="N35" i="106"/>
  <c r="K17" i="106"/>
  <c r="P26" i="106"/>
  <c r="N46" i="106"/>
  <c r="J40" i="106"/>
  <c r="M38" i="106"/>
  <c r="N30" i="106"/>
  <c r="M47" i="106"/>
  <c r="L21" i="106"/>
  <c r="M46" i="106"/>
  <c r="N47" i="106"/>
  <c r="J45" i="106"/>
  <c r="L42" i="106"/>
  <c r="L31" i="106"/>
  <c r="L46" i="106"/>
  <c r="L18" i="106"/>
  <c r="M37" i="106"/>
  <c r="P41" i="106"/>
  <c r="N42" i="106"/>
  <c r="K24" i="106"/>
  <c r="O31" i="106"/>
  <c r="P34" i="106"/>
  <c r="O34" i="106"/>
  <c r="N40" i="106"/>
  <c r="P18" i="106"/>
  <c r="O20" i="106"/>
  <c r="O24" i="106"/>
  <c r="O42" i="106"/>
  <c r="P30" i="106"/>
  <c r="O30" i="106"/>
  <c r="J22" i="106"/>
  <c r="P37" i="106"/>
  <c r="J25" i="106"/>
  <c r="N23" i="106"/>
  <c r="P35" i="106"/>
  <c r="AD71" i="82"/>
  <c r="AD146" i="105"/>
  <c r="AD69" i="82" s="1"/>
  <c r="AD140" i="105"/>
  <c r="H122" i="105"/>
  <c r="H132" i="105" s="1"/>
  <c r="H133" i="105" s="1"/>
  <c r="H135" i="105" s="1"/>
  <c r="Y146" i="105"/>
  <c r="Y69" i="82" s="1"/>
  <c r="Y140" i="105"/>
  <c r="Y71" i="82"/>
  <c r="Y122" i="105"/>
  <c r="AD148" i="105" l="1"/>
  <c r="AD206" i="105"/>
  <c r="AD207" i="105"/>
  <c r="AD80" i="82" s="1"/>
  <c r="Y68" i="82"/>
  <c r="Y206" i="105"/>
  <c r="Y207" i="105"/>
  <c r="Y80" i="82" s="1"/>
  <c r="H119" i="106" a="1"/>
  <c r="H119" i="106" s="1"/>
  <c r="A4" i="106" s="1"/>
  <c r="AD68" i="82"/>
  <c r="Y142" i="105"/>
  <c r="Y148" i="105"/>
  <c r="H136" i="105"/>
  <c r="J80" i="82"/>
  <c r="H211" i="105" l="1" a="1"/>
  <c r="H211" i="105" s="1"/>
  <c r="A4" i="105" s="1"/>
  <c r="J60" i="55"/>
  <c r="H84" i="82" a="1"/>
  <c r="H84" i="82" s="1"/>
  <c r="J61" i="55" s="1"/>
  <c r="J59" i="55" l="1"/>
  <c r="J62" i="55" s="1"/>
  <c r="A4" i="55" s="1"/>
  <c r="A4" i="82"/>
</calcChain>
</file>

<file path=xl/sharedStrings.xml><?xml version="1.0" encoding="utf-8"?>
<sst xmlns="http://schemas.openxmlformats.org/spreadsheetml/2006/main" count="7959" uniqueCount="1172">
  <si>
    <t>CDCM charging model</t>
  </si>
  <si>
    <t>DISCLAIMER</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</si>
  <si>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</si>
  <si>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</si>
  <si>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</si>
  <si>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</si>
  <si>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</si>
  <si>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</si>
  <si>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</si>
  <si>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</si>
  <si>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</si>
  <si>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</si>
  <si>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</si>
  <si>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</si>
  <si>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</si>
  <si>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</si>
  <si>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</si>
  <si>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</si>
  <si>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</si>
  <si>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</si>
  <si>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</si>
  <si>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</si>
  <si>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</si>
  <si>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</si>
  <si>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</si>
  <si>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</si>
  <si>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</si>
  <si>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</si>
  <si>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</si>
  <si>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</si>
  <si>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</si>
  <si>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</si>
  <si>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</si>
  <si>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</si>
  <si>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</si>
  <si>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</si>
  <si>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</si>
  <si>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</si>
  <si>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</si>
  <si>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</si>
  <si>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</si>
  <si>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</si>
  <si>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</si>
  <si>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</si>
  <si>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</si>
  <si>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</si>
  <si>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</si>
  <si>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</si>
  <si>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</si>
  <si>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</si>
  <si>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</si>
  <si>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</si>
  <si>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</si>
  <si>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</si>
  <si>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</si>
  <si>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</si>
  <si>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</si>
  <si>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</si>
  <si>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</si>
  <si>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</si>
  <si>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</si>
  <si>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</si>
  <si>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</si>
  <si>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</si>
  <si>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</si>
  <si>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</si>
  <si>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</si>
  <si>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</si>
  <si>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</si>
  <si>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</si>
  <si>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</si>
  <si>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</si>
  <si>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</si>
  <si>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</si>
  <si>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</si>
  <si>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</si>
  <si>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</si>
  <si>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</si>
  <si>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</si>
  <si>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</si>
  <si>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</si>
  <si>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</si>
  <si>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</si>
  <si>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</si>
  <si>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</si>
  <si>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</si>
  <si>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</si>
  <si>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</si>
  <si>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</si>
  <si>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</si>
  <si>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</si>
  <si>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</si>
  <si>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</si>
  <si>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</si>
  <si>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</si>
  <si>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</si>
  <si>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</si>
  <si>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</si>
  <si>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</si>
  <si>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</si>
  <si>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</si>
  <si>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</si>
  <si>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</si>
  <si>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</si>
  <si>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</si>
  <si>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</si>
  <si>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</si>
  <si>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</si>
  <si>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</si>
  <si>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</si>
  <si>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</si>
  <si>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</si>
  <si>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</si>
  <si>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</si>
  <si>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</si>
  <si>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</si>
  <si>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</si>
  <si>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</si>
  <si>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</si>
  <si>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</si>
  <si>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</si>
  <si>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</si>
  <si>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</si>
  <si>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</si>
  <si>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</si>
  <si>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</si>
  <si>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</si>
  <si>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</si>
  <si>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</si>
  <si>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</si>
  <si>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</si>
  <si>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</si>
  <si>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</si>
  <si>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</si>
  <si>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</si>
  <si>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</si>
  <si>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</si>
  <si>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</si>
  <si>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</si>
  <si>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</si>
  <si>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</si>
  <si>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</si>
  <si>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</si>
  <si>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</si>
  <si>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</si>
  <si>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</si>
  <si>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</si>
  <si>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</si>
  <si>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</si>
  <si>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</si>
  <si>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</si>
  <si>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</si>
  <si>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</si>
  <si>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</si>
  <si>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</si>
  <si>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</si>
  <si>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</si>
  <si>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</si>
  <si>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</si>
  <si>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</si>
  <si>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</si>
  <si>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</si>
  <si>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</si>
  <si>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</si>
  <si>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</si>
  <si>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</si>
  <si>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</si>
  <si>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</si>
  <si>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</si>
  <si>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</si>
  <si>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</si>
  <si>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</si>
  <si>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</si>
  <si>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</si>
  <si>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</si>
  <si>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</si>
  <si>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</si>
  <si>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</si>
  <si>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</si>
  <si>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</si>
  <si>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</si>
  <si>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</si>
  <si>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</si>
  <si>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</si>
  <si>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</si>
  <si>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</si>
  <si>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</si>
  <si>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</si>
  <si>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</si>
  <si>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</si>
  <si>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</si>
  <si>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</si>
  <si>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</si>
  <si>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</si>
  <si>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</si>
  <si>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</si>
  <si>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</si>
  <si>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</si>
  <si>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</si>
  <si>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</si>
  <si>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</si>
  <si>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</si>
  <si>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</si>
  <si>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</si>
  <si>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</si>
  <si>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</si>
  <si>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</si>
  <si>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</si>
  <si>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</si>
  <si>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</si>
  <si>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</si>
  <si>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</si>
  <si>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</si>
  <si>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</si>
  <si>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</si>
  <si>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</si>
  <si>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</si>
  <si>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</si>
  <si>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</si>
  <si>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</si>
  <si>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</si>
  <si>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</si>
  <si>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</si>
  <si>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</si>
  <si>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</si>
  <si>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</si>
  <si>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</si>
  <si>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</si>
  <si>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</si>
  <si>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</si>
  <si>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</si>
  <si>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</si>
  <si>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</si>
  <si>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</si>
  <si>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</si>
  <si>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</si>
  <si>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</si>
  <si>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</si>
  <si>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</si>
  <si>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</si>
  <si>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</si>
  <si>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</si>
  <si>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</si>
  <si>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</si>
  <si>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</si>
  <si>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</si>
  <si>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</si>
  <si>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</si>
  <si>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</si>
  <si>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</si>
  <si>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</si>
  <si>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</si>
  <si>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</si>
  <si>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</si>
  <si>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</si>
  <si>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</si>
  <si>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</si>
  <si>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</si>
  <si>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</si>
  <si>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</si>
  <si>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</si>
  <si>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</si>
  <si>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</si>
  <si>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</si>
  <si>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</si>
  <si>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</si>
  <si>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</si>
  <si>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</si>
  <si>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</si>
  <si>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</si>
  <si>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</si>
  <si>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</si>
  <si>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</si>
  <si>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</si>
  <si>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</si>
  <si>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</si>
  <si>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</si>
  <si>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</si>
  <si>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</si>
  <si>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</si>
  <si>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</si>
  <si>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</si>
  <si>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</si>
  <si>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</si>
  <si>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</si>
  <si>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</si>
  <si>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</si>
  <si>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</si>
  <si>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</si>
  <si>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</si>
  <si>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</si>
  <si>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</si>
  <si>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</si>
  <si>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</si>
  <si>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</si>
  <si>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</si>
  <si>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</si>
  <si>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</si>
  <si>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</si>
  <si>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</si>
  <si>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</si>
  <si>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</si>
  <si>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</si>
  <si>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</si>
  <si>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</si>
  <si>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</si>
  <si>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</si>
  <si>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</si>
  <si>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</si>
  <si>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</si>
  <si>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</si>
  <si>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</si>
  <si>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</si>
  <si>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</si>
  <si>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</si>
  <si>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</si>
  <si>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</si>
  <si>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</si>
  <si>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</si>
  <si>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</si>
  <si>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</si>
  <si>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</si>
  <si>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</si>
  <si>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</si>
  <si>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</si>
  <si>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</si>
  <si>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</si>
  <si>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</si>
  <si>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</si>
  <si>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</si>
  <si>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</si>
  <si>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</si>
  <si>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</si>
  <si>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</si>
  <si>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</si>
  <si>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</si>
  <si>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</si>
  <si>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</si>
  <si>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</si>
  <si>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</si>
  <si>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</si>
  <si>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</si>
  <si>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</si>
  <si>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</si>
  <si>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</si>
  <si>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</si>
  <si>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</si>
  <si>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</si>
  <si>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</si>
  <si>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</si>
  <si>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</si>
  <si>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</si>
  <si>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</si>
  <si>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</si>
  <si>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</si>
  <si>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</si>
  <si>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</si>
  <si>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</si>
  <si>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</si>
  <si>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</si>
  <si>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</si>
  <si>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</si>
  <si>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</si>
  <si>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</si>
  <si>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</si>
  <si>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</si>
  <si>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</si>
  <si>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</si>
  <si>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</si>
  <si>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</si>
  <si>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</si>
  <si>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</si>
  <si>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</si>
  <si>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</si>
  <si>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</si>
  <si>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</si>
  <si>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</si>
  <si>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</si>
  <si>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</si>
  <si>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</si>
  <si>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</si>
  <si>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</si>
  <si>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</si>
  <si>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</si>
  <si>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</si>
  <si>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</si>
  <si>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</si>
  <si>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</si>
  <si>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</si>
  <si>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</si>
  <si>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</si>
  <si>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</si>
  <si>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</si>
  <si>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</si>
  <si>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</si>
  <si>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</si>
  <si>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</si>
  <si>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</si>
  <si>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</si>
  <si>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</si>
  <si>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</si>
  <si>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</si>
  <si>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</si>
  <si>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</si>
  <si>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</si>
  <si>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</si>
  <si>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</si>
  <si>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</si>
  <si>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</si>
  <si>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</si>
  <si>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</si>
  <si>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</si>
  <si>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</si>
  <si>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</si>
  <si>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</si>
  <si>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</si>
  <si>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</si>
  <si>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</si>
  <si>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</si>
  <si>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</si>
  <si>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</si>
  <si>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</si>
  <si>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</si>
  <si>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</si>
  <si>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</si>
  <si>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</si>
  <si>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</si>
  <si>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</si>
  <si>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</si>
  <si>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</si>
  <si>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</si>
  <si>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</si>
  <si>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</si>
  <si>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</si>
  <si>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</si>
  <si>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</si>
  <si>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</si>
  <si>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</si>
  <si>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</si>
  <si>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</si>
  <si>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</si>
  <si>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</si>
  <si>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</si>
  <si>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</si>
  <si>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</si>
  <si>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</si>
  <si>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</si>
  <si>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</si>
  <si>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</si>
  <si>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</si>
  <si>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</si>
  <si>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</si>
  <si>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</si>
  <si>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</si>
  <si>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</si>
  <si>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</si>
  <si>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</si>
  <si>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</si>
  <si>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</si>
  <si>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</si>
  <si>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</si>
  <si>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</si>
  <si>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</si>
  <si>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</si>
  <si>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</si>
  <si>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</si>
  <si>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</si>
  <si>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</si>
  <si>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</si>
  <si>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</si>
  <si>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</si>
  <si>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</si>
  <si>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</si>
  <si>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</si>
  <si>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</si>
  <si>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</si>
  <si>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</si>
  <si>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</si>
  <si>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</si>
  <si>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</si>
  <si>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</si>
  <si>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</si>
  <si>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</si>
  <si>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</si>
  <si>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</si>
  <si>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</si>
  <si>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</si>
  <si>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</si>
  <si>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</si>
  <si>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</si>
  <si>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</si>
  <si>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</si>
  <si>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</si>
  <si>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</si>
  <si>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</si>
  <si>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</si>
  <si>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</si>
  <si>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</si>
  <si>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</si>
  <si>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</si>
  <si>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</si>
  <si>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</si>
  <si>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</si>
  <si>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</si>
  <si>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</si>
  <si>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</si>
  <si>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</si>
  <si>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</si>
  <si>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</si>
  <si>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</si>
  <si>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</si>
  <si>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</si>
  <si>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</si>
  <si>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</si>
  <si>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</si>
  <si>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</si>
  <si>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</si>
  <si>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</si>
  <si>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</si>
  <si>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</si>
  <si>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</si>
  <si>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</si>
  <si>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</si>
  <si>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</si>
  <si>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</si>
  <si>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</si>
  <si>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</si>
  <si>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</si>
  <si>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</si>
  <si>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</si>
  <si>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</si>
  <si>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</si>
  <si>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</si>
  <si>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</si>
  <si>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</si>
  <si>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</si>
  <si>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</si>
  <si>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</si>
  <si>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</si>
  <si>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</si>
  <si>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</si>
  <si>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</si>
  <si>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</si>
  <si>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</si>
  <si>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</si>
  <si>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</si>
  <si>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</si>
  <si>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</si>
  <si>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</si>
  <si>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</si>
  <si>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</si>
  <si>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</si>
  <si>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</si>
  <si>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</si>
  <si>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</si>
  <si>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</si>
  <si>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</si>
  <si>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</si>
  <si>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</si>
  <si>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</si>
  <si>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</si>
  <si>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</si>
  <si>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</si>
  <si>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</si>
  <si>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</si>
  <si>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</si>
  <si>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</si>
  <si>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</si>
  <si>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</si>
  <si>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</si>
  <si>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</si>
  <si>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</si>
  <si>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</si>
  <si>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</si>
  <si>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</si>
  <si>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</si>
  <si>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</si>
  <si>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</si>
  <si>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</si>
  <si>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</si>
  <si>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</si>
  <si>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</si>
  <si>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</si>
  <si>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</si>
  <si>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</si>
  <si>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</si>
  <si>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</si>
  <si>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</si>
  <si>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</si>
  <si>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</si>
  <si>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</si>
  <si>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</si>
  <si>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</si>
  <si>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</si>
  <si>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</si>
  <si>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</si>
  <si>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</si>
  <si>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</si>
  <si>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</si>
  <si>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</si>
  <si>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</si>
  <si>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</si>
  <si>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</si>
  <si>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</si>
  <si>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</si>
  <si>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</si>
  <si>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</si>
  <si>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</si>
  <si>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</si>
  <si>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</si>
  <si>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</si>
  <si>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</si>
  <si>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</si>
  <si>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</si>
  <si>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</si>
  <si>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</si>
  <si>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</si>
  <si>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</si>
  <si>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</si>
  <si>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</si>
  <si>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</si>
  <si>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</si>
  <si>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</si>
  <si>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</si>
  <si>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</si>
  <si>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</si>
  <si>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</si>
  <si>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</si>
  <si>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</si>
  <si>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</si>
  <si>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</si>
  <si>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</si>
  <si>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</si>
  <si>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</si>
  <si>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</si>
  <si>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</si>
  <si>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</si>
  <si>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</si>
  <si>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</si>
  <si>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</si>
  <si>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</si>
  <si>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</si>
  <si>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</si>
  <si>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</si>
  <si>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</si>
  <si>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</si>
  <si>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</si>
  <si>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</si>
  <si>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</si>
  <si>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</si>
  <si>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</si>
  <si>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</si>
  <si>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</si>
  <si>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</si>
  <si>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</si>
  <si>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</si>
  <si>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</si>
  <si>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</si>
  <si>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</si>
  <si>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</si>
  <si>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</si>
  <si>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</si>
  <si>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</si>
  <si>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</si>
  <si>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</si>
  <si>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</si>
  <si>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</si>
  <si>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</si>
  <si>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</si>
  <si>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</si>
  <si>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</si>
  <si>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</si>
  <si>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</si>
  <si>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</si>
  <si>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</si>
  <si>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</si>
  <si>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</si>
  <si>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</si>
  <si>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</si>
  <si>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</si>
  <si>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</si>
  <si>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</si>
  <si>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</si>
  <si>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</si>
  <si>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</si>
  <si>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</si>
  <si>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</si>
  <si>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</si>
  <si>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</si>
  <si>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</si>
  <si>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</si>
  <si>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</si>
  <si>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</si>
  <si>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</si>
  <si>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</si>
  <si>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</si>
  <si>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</si>
  <si>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</si>
  <si>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</si>
  <si>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</si>
  <si>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</si>
  <si>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</si>
  <si>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</si>
  <si>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</si>
  <si>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</si>
  <si>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</si>
  <si>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</si>
  <si>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</si>
  <si>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</si>
  <si>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</si>
  <si>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</si>
  <si>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</si>
  <si>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</si>
  <si>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</si>
  <si>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</si>
  <si>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</si>
  <si>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</si>
  <si>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</si>
  <si>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</si>
  <si>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</si>
  <si>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</si>
  <si>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</si>
  <si>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</si>
  <si>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</si>
  <si>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</si>
  <si>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</si>
  <si>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</si>
  <si>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</si>
  <si>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</si>
  <si>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</si>
  <si>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</si>
  <si>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</si>
  <si>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</si>
  <si>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</si>
  <si>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</si>
  <si>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</si>
  <si>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</si>
  <si>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</si>
  <si>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</si>
  <si>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</si>
  <si>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</si>
  <si>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</si>
  <si>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</si>
  <si>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</si>
  <si>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</si>
  <si>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</si>
  <si>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</si>
  <si>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</si>
  <si>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</si>
  <si>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</si>
  <si>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</si>
  <si>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</si>
  <si>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</si>
  <si>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</si>
  <si>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</si>
  <si>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</si>
  <si>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</si>
  <si>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</si>
  <si>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</si>
  <si>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</si>
  <si>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</si>
  <si>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</si>
  <si>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</si>
  <si>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</si>
  <si>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</si>
  <si>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</si>
  <si>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</si>
  <si>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</si>
  <si>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</si>
  <si>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</si>
  <si>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</si>
  <si>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</si>
  <si>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</si>
  <si>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</si>
  <si>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</si>
  <si>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</si>
  <si>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</si>
  <si>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</si>
  <si>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</si>
  <si>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</si>
  <si>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</si>
  <si>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</si>
  <si>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</si>
  <si>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</si>
  <si>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</si>
  <si>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</si>
  <si>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</si>
  <si>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</si>
  <si>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</si>
  <si>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</si>
  <si>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</si>
  <si>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</si>
  <si>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</si>
  <si>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</si>
  <si>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</si>
  <si>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</si>
  <si>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</si>
  <si>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</si>
  <si>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</si>
  <si>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</si>
  <si>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</si>
  <si>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</si>
  <si>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</si>
  <si>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</si>
  <si>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</si>
  <si>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</si>
  <si>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</si>
  <si>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</si>
  <si>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</si>
  <si>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</si>
  <si>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</si>
  <si>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</si>
  <si>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</si>
  <si>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</si>
  <si>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</si>
  <si>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</si>
  <si>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</si>
  <si>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</si>
  <si>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</si>
  <si>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</si>
  <si>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</si>
  <si>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</si>
  <si>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</si>
  <si>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</si>
  <si>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</si>
  <si>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</si>
  <si>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</si>
  <si>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</si>
  <si>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</si>
  <si>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</si>
  <si>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</si>
  <si>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</si>
  <si>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</si>
  <si>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</si>
  <si>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</si>
  <si>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</si>
  <si>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</si>
  <si>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</si>
  <si>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</si>
  <si>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</si>
  <si>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</si>
  <si>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</si>
  <si>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</si>
  <si>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</si>
  <si>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</si>
  <si>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</si>
  <si>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</si>
  <si>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</si>
  <si>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</si>
  <si>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</si>
  <si>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</si>
  <si>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</si>
  <si>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</si>
  <si>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</si>
  <si>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</si>
  <si>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</si>
  <si>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</si>
  <si>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</si>
  <si>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</si>
  <si>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</si>
  <si>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</si>
  <si>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</si>
  <si>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</si>
  <si>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</si>
  <si>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</si>
  <si>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</si>
  <si>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</si>
  <si>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</si>
  <si>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</si>
  <si>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</si>
  <si>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</si>
  <si>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</si>
  <si>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</si>
  <si>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</si>
  <si>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</si>
  <si>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</si>
  <si>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</si>
  <si>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</si>
  <si>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</si>
  <si>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</si>
  <si>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</si>
  <si>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</si>
  <si>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</si>
  <si>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</si>
  <si>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</si>
  <si>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</si>
  <si>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</si>
  <si>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</si>
  <si>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</si>
  <si>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</si>
  <si>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</si>
  <si>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</si>
  <si>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</si>
  <si>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</si>
  <si>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</si>
  <si>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</si>
  <si>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</si>
  <si>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</si>
  <si>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</si>
  <si>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</si>
  <si>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</si>
  <si>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</si>
  <si>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</si>
  <si>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</si>
  <si>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</si>
  <si>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</si>
  <si>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</si>
  <si>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</si>
  <si>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Domestic Aggregated with Residual</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</si>
  <si>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</si>
  <si>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</si>
  <si>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</si>
  <si>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</si>
  <si>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</si>
  <si>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</si>
  <si>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</si>
  <si>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</si>
  <si>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</si>
  <si>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</si>
  <si>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</si>
  <si>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</si>
  <si>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</si>
  <si>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</si>
  <si>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</si>
  <si>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</si>
  <si>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</si>
  <si>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</si>
  <si>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</si>
  <si>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</si>
  <si>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</si>
  <si>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</si>
  <si>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</si>
  <si>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</si>
  <si>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</si>
  <si>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</si>
  <si>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</si>
  <si>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</si>
  <si>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</si>
  <si>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</si>
  <si>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</si>
  <si>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</si>
  <si>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</si>
  <si>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</si>
  <si>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</si>
  <si>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</si>
  <si>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</si>
  <si>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</si>
  <si>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</si>
  <si>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</si>
  <si>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</si>
  <si>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</si>
  <si>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</si>
  <si>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</si>
  <si>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</si>
  <si>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</si>
  <si>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</si>
  <si>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</si>
  <si>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</si>
  <si>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</si>
  <si>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</si>
  <si>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</si>
  <si>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</si>
  <si>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</si>
  <si>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</si>
  <si>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</si>
  <si>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</si>
  <si>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</si>
  <si>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</si>
  <si>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</si>
  <si>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</si>
  <si>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</si>
  <si>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</si>
  <si>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</si>
  <si>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</si>
  <si>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</si>
  <si>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</si>
  <si>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</si>
  <si>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</si>
  <si>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</si>
  <si>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</si>
  <si>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</si>
  <si>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</si>
  <si>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</si>
  <si>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</si>
  <si>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</si>
  <si>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</si>
  <si>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</si>
  <si>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</si>
  <si>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</si>
  <si>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</si>
  <si>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</si>
  <si>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</si>
  <si>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</si>
  <si>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</si>
  <si>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</si>
  <si>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</si>
  <si>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</si>
  <si>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</si>
  <si>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</si>
  <si>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</si>
  <si>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</si>
  <si>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</si>
  <si>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</si>
  <si>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</si>
  <si>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</si>
  <si>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</si>
  <si>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</si>
  <si>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</si>
  <si>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</si>
  <si>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</si>
  <si>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</si>
  <si>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</si>
  <si>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</si>
  <si>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</si>
  <si>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</si>
  <si>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</si>
  <si>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</si>
  <si>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</si>
  <si>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</si>
  <si>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</si>
  <si>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</si>
  <si>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</si>
  <si>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</si>
  <si>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</si>
  <si>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</si>
  <si>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</si>
  <si>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</si>
  <si>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</si>
  <si>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</si>
  <si>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</si>
  <si>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</si>
  <si>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</si>
  <si>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</si>
  <si>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</si>
  <si>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</si>
  <si>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</si>
  <si>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</si>
  <si>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</si>
  <si>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</si>
  <si>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</si>
  <si>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</si>
  <si>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</si>
  <si>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</si>
  <si>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</si>
  <si>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</si>
  <si>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</si>
  <si>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</si>
  <si>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</si>
  <si>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</si>
  <si>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</si>
  <si>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</si>
  <si>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</si>
  <si>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</si>
  <si>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</si>
  <si>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</si>
  <si>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</si>
  <si>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</si>
  <si>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</si>
  <si>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</si>
  <si>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</si>
  <si>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</si>
  <si>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</si>
  <si>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</si>
  <si>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</si>
  <si>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</si>
  <si>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</si>
  <si>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</si>
  <si>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</si>
  <si>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</si>
  <si>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</si>
  <si>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</si>
  <si>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</si>
  <si>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</si>
  <si>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</si>
  <si>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</si>
  <si>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</si>
  <si>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</si>
  <si>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</si>
  <si>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</si>
  <si>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</si>
  <si>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</si>
  <si>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</si>
  <si>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</si>
  <si>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</si>
  <si>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</si>
  <si>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</si>
  <si>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</si>
  <si>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</si>
  <si>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</si>
  <si>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</si>
  <si>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</si>
  <si>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</si>
  <si>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</si>
  <si>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</si>
  <si>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</si>
  <si>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</si>
  <si>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</si>
  <si>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</si>
  <si>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</si>
  <si>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</si>
  <si>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</si>
  <si>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</si>
  <si>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</si>
  <si>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</si>
  <si>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</si>
  <si>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</si>
  <si>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</si>
  <si>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</si>
  <si>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</si>
  <si>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</si>
  <si>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</si>
  <si>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</si>
  <si>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</si>
  <si>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</si>
  <si>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</si>
  <si>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</si>
  <si>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</si>
  <si>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</si>
  <si>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</si>
  <si>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</si>
  <si>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</si>
  <si>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</si>
  <si>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</si>
  <si>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</si>
  <si>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</si>
  <si>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</si>
  <si>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</si>
  <si>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</si>
  <si>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</si>
  <si>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</si>
  <si>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</si>
  <si>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</si>
  <si>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</si>
  <si>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</si>
  <si>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</si>
  <si>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</si>
  <si>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</si>
  <si>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</si>
  <si>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</si>
  <si>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</si>
  <si>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</si>
  <si>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</si>
  <si>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</si>
  <si>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</si>
  <si>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</si>
  <si>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</si>
  <si>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</si>
  <si>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</si>
  <si>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</si>
  <si>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</si>
  <si>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</si>
  <si>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Pass-through COVID-19 Bad Debt Adjustment</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</si>
  <si>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</si>
  <si>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</si>
  <si>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</si>
  <si>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</si>
  <si>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Attachment A_Charging Methodologies Pre-Release_01042023 (shared 15/11/2021)</t>
  </si>
  <si>
    <t>The only rows used as inputs to the model itself are "Latest forecast of CDCM Revenue" and "Pass-through… Adjustment" items.</t>
  </si>
  <si>
    <t>Paragraph 90A</t>
  </si>
  <si>
    <t>Paragraphs 101 and 102</t>
  </si>
  <si>
    <t>Paragraph 54, Schedule 15 Table 1</t>
  </si>
  <si>
    <t>Paragraphs 101 and 103</t>
  </si>
  <si>
    <t xml:space="preserve">Release for charge setting. Cover sheet, version control and annotation changes only. </t>
  </si>
  <si>
    <t>These costs are used as Input 402-D on the 'DNO inputs' sheet of the PCDM.</t>
  </si>
  <si>
    <t>Added "Pass-through Smart Meter Communication Licence Costs" to the "Output to other models" sheet to facilitate DCP395.</t>
  </si>
  <si>
    <t>Attachment A_2024-25 Charging Methodologies Pre-Release (shared 06/10/2022)</t>
  </si>
  <si>
    <t>Release for charge setting including DCP 395.</t>
  </si>
  <si>
    <t>Release for 2024/25 charge setting</t>
  </si>
  <si>
    <t>2024/25</t>
  </si>
  <si>
    <t xml:space="preserve"> </t>
  </si>
  <si>
    <t>Southern Electric Power Distribution</t>
  </si>
  <si>
    <t>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</si>
</sst>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50">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0" fontId="1" fillId="3" borderId="0" xfId="1" applyNumberFormat="1" applyAlignment="1">
      <alignment horizontal="left"/>
    </xf>
    <xf numFmtId="0" fontId="0" fillId="0" borderId="2" xfId="0" applyBorder="1"/>
    <xf numFmtId="0" fontId="8" fillId="0" borderId="0" xfId="60" applyNumberFormat="1" applyAlignment="1"/>
    <xf numFmtId="9" fontId="34" fillId="0" borderId="0" xfId="56"/>
    <xf numFmtId="0" fontId="35" fillId="0" borderId="0" xfId="52" applyBorder="1"/>
    <xf numFmtId="0" fontId="7" fillId="0" borderId="0" xfId="50"/>
    <xf numFmtId="0" fontId="36" fillId="0" borderId="0" xfId="58"/>
    <xf numFmtId="0" fontId="1" fillId="5" borderId="0" xfId="49"/>
    <xf numFmtId="0" fontId="22" fillId="37" borderId="0" xfId="48"/>
    <xf numFmtId="0" fontId="2" fillId="0" borderId="0" xfId="53"/>
    <xf numFmtId="0" fontId="0" fillId="0" borderId="3" xfId="0" applyBorder="1"/>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lignment horizontal="left" vertical="top" wrapText="1"/>
      <protection locked="0"/>
    </xf>
    <xf numFmtId="0" fontId="7" fillId="38" borderId="0" xfId="59" applyAlignment="1" applyProtection="1">
      <protection locked="0"/>
    </xf>
    <xf numFmtId="0" fontId="8" fillId="2" borderId="0" xfId="51">
      <protection locked="0"/>
    </xf>
    <xf numFmtId="170" fontId="8" fillId="2" borderId="0" xfId="51" applyNumberFormat="1" applyAlignment="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protection locked="0"/>
    </xf>
    <xf numFmtId="175" fontId="8" fillId="2" borderId="2" xfId="51" applyNumberFormat="1" applyBorder="1">
      <protection locked="0"/>
    </xf>
    <xf numFmtId="175" fontId="8" fillId="2" borderId="0" xfId="51" applyNumberFormat="1">
      <protection locked="0"/>
    </xf>
    <xf numFmtId="175" fontId="8" fillId="2" borderId="0" xfId="51" applyNumberFormat="1" applyAlignment="1">
      <alignment vertical="top"/>
      <protection locked="0"/>
    </xf>
    <xf numFmtId="175" fontId="8" fillId="2" borderId="3" xfId="51" applyNumberFormat="1" applyBorder="1">
      <protection locked="0"/>
    </xf>
    <xf numFmtId="9" fontId="8" fillId="2" borderId="2" xfId="51" applyNumberFormat="1" applyBorder="1">
      <protection locked="0"/>
    </xf>
    <xf numFmtId="9" fontId="8" fillId="2" borderId="3" xfId="51" applyNumberFormat="1" applyBorder="1">
      <protection locked="0"/>
    </xf>
    <xf numFmtId="10" fontId="8" fillId="2" borderId="0" xfId="51" applyNumberFormat="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0" fillId="0" borderId="0" xfId="0" applyNumberFormat="1"/>
    <xf numFmtId="176" fontId="8" fillId="4" borderId="0" xfId="55" applyNumberFormat="1">
      <alignment vertical="top"/>
    </xf>
    <xf numFmtId="176" fontId="0" fillId="0" borderId="3" xfId="0" applyNumberFormat="1" applyBorder="1"/>
    <xf numFmtId="176" fontId="8" fillId="4" borderId="3" xfId="55" applyNumberFormat="1" applyBorder="1">
      <alignment vertical="top"/>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8" fillId="39" borderId="2" xfId="65" applyNumberFormat="1" applyFont="1" applyBorder="1"/>
    <xf numFmtId="176" fontId="8" fillId="39" borderId="3" xfId="65" applyNumberFormat="1" applyFont="1" applyBorder="1"/>
    <xf numFmtId="0" fontId="1" fillId="3" borderId="17" xfId="1" applyNumberFormat="1" applyBorder="1" applyAlignment="1"/>
    <xf numFmtId="0" fontId="26" fillId="44" borderId="0" xfId="54" quotePrefix="1" applyFill="1"/>
    <xf numFmtId="0" fontId="26" fillId="44" borderId="18" xfId="54" quotePrefix="1" applyFill="1" applyBorder="1"/>
    <xf numFmtId="0" fontId="26" fillId="45" borderId="0" xfId="54" quotePrefix="1" applyFill="1"/>
    <xf numFmtId="0" fontId="26" fillId="45" borderId="18" xfId="54" quotePrefix="1" applyFill="1" applyBorder="1"/>
    <xf numFmtId="0" fontId="26" fillId="37" borderId="0" xfId="54" quotePrefix="1" applyFill="1"/>
    <xf numFmtId="0" fontId="26" fillId="37" borderId="18" xfId="54" quotePrefix="1" applyFill="1" applyBorder="1"/>
    <xf numFmtId="0" fontId="26" fillId="46" borderId="0" xfId="54" quotePrefix="1" applyFill="1"/>
    <xf numFmtId="0" fontId="26" fillId="46" borderId="18" xfId="54" quotePrefix="1" applyFill="1" applyBorder="1"/>
    <xf numFmtId="170" fontId="0" fillId="2" borderId="0" xfId="51" applyNumberFormat="1" applyFont="1" applyBorder="1" applyAlignment="1">
      <alignment horizontal="left" vertical="top" wrapText="1"/>
      <protection locked="0"/>
    </xf>
    <xf numFmtId="0" fontId="8" fillId="2" borderId="0" xfId="51" applyAlignment="1">
      <alignment wrapText="1"/>
      <protection locked="0"/>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0" fontId="8" fillId="39" borderId="2" xfId="65" applyNumberFormat="1" applyFont="1" applyBorder="1"/>
    <xf numFmtId="10" fontId="8" fillId="39" borderId="3" xfId="65" applyNumberFormat="1" applyFont="1"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75" fontId="8" fillId="4" borderId="0" xfId="55" applyNumberFormat="1" applyBorder="1">
      <alignment vertical="top"/>
    </xf>
    <xf numFmtId="9" fontId="8" fillId="0" borderId="0" xfId="60" applyNumberFormat="1" applyBorder="1" applyAlignment="1"/>
    <xf numFmtId="175" fontId="34" fillId="0" borderId="0" xfId="56" applyNumberFormat="1" applyBorder="1"/>
    <xf numFmtId="177" fontId="0" fillId="0" borderId="0" xfId="0" applyNumberFormat="1" applyAlignment="1">
      <alignment horizontal="right"/>
    </xf>
    <xf numFmtId="9" fontId="8" fillId="0" borderId="0" xfId="60" applyNumberFormat="1" applyAlignment="1">
      <alignment horizontal="right"/>
    </xf>
    <xf numFmtId="0" fontId="7" fillId="38" borderId="0" xfId="59" applyBorder="1" applyAlignment="1"/>
    <xf numFmtId="176" fontId="0" fillId="0" borderId="0" xfId="0" applyNumberFormat="1" applyAlignment="1">
      <alignment horizontal="right"/>
    </xf>
    <xf numFmtId="175" fontId="34" fillId="0" borderId="0" xfId="56" applyNumberFormat="1" applyBorder="1" applyAlignment="1">
      <alignment horizontal="right"/>
    </xf>
    <xf numFmtId="167" fontId="0" fillId="0" borderId="0" xfId="0" applyNumberFormat="1" applyAlignment="1">
      <alignment horizontal="right"/>
    </xf>
    <xf numFmtId="175" fontId="8" fillId="2" borderId="0" xfId="51" applyNumberFormat="1" applyBorder="1">
      <protection locked="0"/>
    </xf>
    <xf numFmtId="176" fontId="34" fillId="0" borderId="0" xfId="56" applyNumberFormat="1" applyBorder="1"/>
    <xf numFmtId="9" fontId="34" fillId="0" borderId="2" xfId="56" applyNumberFormat="1" applyBorder="1"/>
    <xf numFmtId="9" fontId="34" fillId="0" borderId="0" xfId="56" applyNumberFormat="1" applyBorder="1"/>
    <xf numFmtId="9" fontId="34" fillId="0" borderId="3" xfId="56" applyNumberFormat="1" applyBorder="1"/>
    <xf numFmtId="171"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4" borderId="0" xfId="55" applyNumberFormat="1" applyBorder="1">
      <alignment vertical="top"/>
    </xf>
    <xf numFmtId="172" fontId="8" fillId="4" borderId="0" xfId="55" applyNumberFormat="1">
      <alignment vertical="top"/>
    </xf>
    <xf numFmtId="172" fontId="8" fillId="4" borderId="0" xfId="55" applyNumberFormat="1" applyBorder="1">
      <alignment vertical="top"/>
    </xf>
    <xf numFmtId="172" fontId="8" fillId="4" borderId="3" xfId="55" applyNumberFormat="1" applyBorder="1">
      <alignment vertical="top"/>
    </xf>
    <xf numFmtId="0" fontId="7" fillId="0" borderId="0" xfId="50" applyBorder="1" applyAlignment="1">
      <alignment horizontal="left"/>
    </xf>
    <xf numFmtId="0" fontId="5" fillId="0" borderId="3" xfId="0" applyFont="1" applyBorder="1"/>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2" xfId="0" applyNumberFormat="1" applyBorder="1" applyAlignment="1">
      <alignment horizontal="right"/>
    </xf>
    <xf numFmtId="177" fontId="0" fillId="0" borderId="3" xfId="0" applyNumberFormat="1" applyBorder="1" applyAlignment="1">
      <alignment horizontal="right"/>
    </xf>
    <xf numFmtId="175" fontId="35" fillId="0" borderId="4" xfId="52" applyNumberFormat="1" applyBorder="1"/>
    <xf numFmtId="175" fontId="7" fillId="0" borderId="0" xfId="50" applyNumberFormat="1" applyBorder="1"/>
    <xf numFmtId="175" fontId="7" fillId="0" borderId="2" xfId="50" applyNumberFormat="1" applyBorder="1"/>
    <xf numFmtId="175" fontId="7" fillId="0" borderId="3" xfId="50" applyNumberFormat="1" applyBorder="1"/>
    <xf numFmtId="9" fontId="8" fillId="2" borderId="0" xfId="51" applyNumberFormat="1" applyBorder="1">
      <protection locked="0"/>
    </xf>
    <xf numFmtId="0" fontId="8" fillId="4" borderId="0" xfId="55" applyNumberFormat="1" applyBorder="1">
      <alignment vertical="top"/>
    </xf>
    <xf numFmtId="0" fontId="7" fillId="38" borderId="0" xfId="59" applyBorder="1" applyAlignment="1">
      <alignment horizontal="right"/>
    </xf>
    <xf numFmtId="0" fontId="7" fillId="38" borderId="3" xfId="59" applyBorder="1" applyAlignment="1">
      <alignment horizontal="right"/>
    </xf>
    <xf numFmtId="0" fontId="7" fillId="38" borderId="2" xfId="59" applyBorder="1" applyAlignment="1">
      <alignment horizontal="right"/>
    </xf>
    <xf numFmtId="0" fontId="7" fillId="38" borderId="0" xfId="59" applyAlignment="1"/>
    <xf numFmtId="0" fontId="7" fillId="0" borderId="0" xfId="50" applyNumberFormat="1"/>
    <xf numFmtId="0" fontId="2" fillId="0" borderId="0" xfId="53" applyNumberFormat="1" applyAlignment="1">
      <alignment horizontal="left"/>
    </xf>
    <xf numFmtId="176" fontId="8" fillId="39" borderId="0" xfId="65" applyNumberFormat="1" applyFont="1" applyBorder="1"/>
    <xf numFmtId="175" fontId="8" fillId="39" borderId="0" xfId="65" applyNumberFormat="1" applyFont="1" applyBorder="1"/>
    <xf numFmtId="0" fontId="36" fillId="0" borderId="0" xfId="58" applyAlignment="1">
      <alignment vertical="top"/>
    </xf>
    <xf numFmtId="9" fontId="7" fillId="38" borderId="0" xfId="59" applyNumberFormat="1" applyAlignment="1">
      <alignment horizontal="right"/>
    </xf>
    <xf numFmtId="177" fontId="8" fillId="0" borderId="0" xfId="60" applyNumberFormat="1" applyAlignment="1"/>
    <xf numFmtId="9" fontId="8" fillId="0" borderId="0" xfId="60" applyNumberFormat="1" applyBorder="1" applyAlignment="1">
      <alignment vertical="top"/>
    </xf>
    <xf numFmtId="9" fontId="1" fillId="3" borderId="2" xfId="1" applyNumberFormat="1" applyBorder="1" applyAlignment="1">
      <alignment horizontal="right"/>
    </xf>
    <xf numFmtId="9" fontId="1" fillId="3" borderId="0" xfId="1" applyNumberFormat="1" applyBorder="1" applyAlignment="1">
      <alignment horizontal="right"/>
    </xf>
    <xf numFmtId="180" fontId="8" fillId="39" borderId="2" xfId="65" applyNumberFormat="1" applyFont="1" applyBorder="1" applyAlignment="1">
      <alignment horizontal="right"/>
    </xf>
    <xf numFmtId="180" fontId="8" fillId="39" borderId="0" xfId="65" applyNumberFormat="1" applyFont="1" applyAlignment="1">
      <alignment horizontal="right"/>
    </xf>
    <xf numFmtId="180" fontId="8" fillId="39" borderId="0" xfId="65" applyNumberFormat="1" applyFont="1" applyBorder="1" applyAlignment="1">
      <alignment horizontal="right"/>
    </xf>
    <xf numFmtId="180" fontId="8" fillId="39" borderId="3" xfId="65" applyNumberFormat="1" applyFont="1" applyBorder="1" applyAlignment="1">
      <alignment horizontal="right"/>
    </xf>
    <xf numFmtId="0" fontId="2" fillId="0" borderId="0" xfId="53" applyBorder="1"/>
    <xf numFmtId="0" fontId="7" fillId="0" borderId="2" xfId="64" applyBorder="1" applyAlignment="1"/>
    <xf numFmtId="0" fontId="7" fillId="0" borderId="0" xfId="64" applyAlignment="1"/>
    <xf numFmtId="0" fontId="7" fillId="0" borderId="3" xfId="64" applyBorder="1" applyAlignment="1"/>
    <xf numFmtId="49" fontId="1" fillId="3" borderId="0" xfId="1" applyBorder="1" applyAlignment="1">
      <alignment horizontal="right" vertical="center" wrapText="1"/>
    </xf>
    <xf numFmtId="175" fontId="8" fillId="0" borderId="0" xfId="60" applyNumberFormat="1" applyBorder="1" applyAlignment="1">
      <alignment horizontal="right"/>
    </xf>
    <xf numFmtId="181" fontId="8" fillId="0" borderId="0" xfId="60" applyNumberFormat="1" applyAlignment="1">
      <alignment horizontal="right"/>
    </xf>
    <xf numFmtId="0" fontId="36" fillId="0" borderId="3" xfId="58" applyBorder="1"/>
    <xf numFmtId="9" fontId="8" fillId="4" borderId="0" xfId="55" applyNumberFormat="1" applyBorder="1">
      <alignment vertical="top"/>
    </xf>
    <xf numFmtId="180" fontId="8" fillId="4" borderId="0" xfId="55" applyNumberFormat="1">
      <alignment vertical="top"/>
    </xf>
    <xf numFmtId="180" fontId="8" fillId="4" borderId="0" xfId="55" applyNumberFormat="1" applyBorder="1">
      <alignment vertical="top"/>
    </xf>
    <xf numFmtId="180" fontId="8" fillId="4" borderId="3" xfId="55" applyNumberFormat="1" applyBorder="1">
      <alignment vertical="top"/>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9" fontId="8" fillId="0" borderId="2" xfId="60" applyNumberFormat="1" applyBorder="1" applyAlignment="1">
      <alignment horizontal="right"/>
    </xf>
    <xf numFmtId="9" fontId="8" fillId="0" borderId="0" xfId="60" applyNumberFormat="1" applyBorder="1" applyAlignment="1">
      <alignment horizontal="right"/>
    </xf>
    <xf numFmtId="9" fontId="8" fillId="0" borderId="3" xfId="60" applyNumberFormat="1" applyBorder="1" applyAlignment="1">
      <alignment horizontal="right"/>
    </xf>
    <xf numFmtId="175" fontId="8" fillId="0" borderId="0" xfId="60" applyNumberFormat="1" applyBorder="1" applyAlignment="1">
      <alignment vertical="top"/>
    </xf>
    <xf numFmtId="9" fontId="34" fillId="0" borderId="0" xfId="56" applyNumberFormat="1"/>
    <xf numFmtId="9" fontId="35" fillId="0" borderId="0" xfId="52" applyNumberFormat="1" applyBorder="1" applyAlignment="1">
      <alignment horizontal="right"/>
    </xf>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175" fontId="34" fillId="0" borderId="4" xfId="56" applyNumberFormat="1" applyBorder="1" applyAlignment="1">
      <alignment horizontal="right"/>
    </xf>
    <xf numFmtId="176" fontId="8" fillId="0" borderId="4" xfId="60" applyNumberFormat="1" applyBorder="1" applyAlignment="1"/>
    <xf numFmtId="176" fontId="35" fillId="0" borderId="4" xfId="52" applyNumberFormat="1" applyBorder="1"/>
    <xf numFmtId="3" fontId="8" fillId="0" borderId="4" xfId="60" applyNumberFormat="1" applyBorder="1" applyAlignment="1"/>
    <xf numFmtId="0" fontId="8" fillId="0" borderId="0" xfId="60" applyNumberFormat="1" applyAlignment="1">
      <alignment horizontal="right"/>
    </xf>
    <xf numFmtId="0" fontId="0" fillId="47" borderId="0" xfId="0" applyFill="1"/>
    <xf numFmtId="175" fontId="8" fillId="47" borderId="1" xfId="60" applyNumberFormat="1" applyFill="1" applyBorder="1" applyAlignment="1"/>
    <xf numFmtId="0" fontId="2" fillId="47" borderId="0" xfId="0" applyFont="1" applyFill="1"/>
    <xf numFmtId="0" fontId="5" fillId="47" borderId="0" xfId="0" applyFont="1" applyFill="1"/>
    <xf numFmtId="0" fontId="34" fillId="47" borderId="0" xfId="56" applyNumberFormat="1" applyFill="1" applyBorder="1"/>
    <xf numFmtId="175" fontId="34" fillId="47" borderId="0" xfId="56" applyNumberFormat="1" applyFill="1"/>
    <xf numFmtId="175" fontId="34" fillId="47" borderId="0" xfId="56" applyNumberFormat="1" applyFill="1" applyBorder="1"/>
    <xf numFmtId="175" fontId="0" fillId="47" borderId="0" xfId="0" applyNumberFormat="1" applyFill="1"/>
    <xf numFmtId="0" fontId="0" fillId="47" borderId="0" xfId="0" applyFill="1" applyAlignment="1">
      <alignment horizontal="right"/>
    </xf>
    <xf numFmtId="175" fontId="34" fillId="47" borderId="0" xfId="56" applyNumberFormat="1" applyFill="1" applyAlignment="1">
      <alignment horizontal="right"/>
    </xf>
    <xf numFmtId="175" fontId="8" fillId="47" borderId="0" xfId="60" applyNumberFormat="1" applyFill="1" applyBorder="1" applyAlignment="1">
      <alignment horizontal="right"/>
    </xf>
    <xf numFmtId="0" fontId="0" fillId="47" borderId="4" xfId="0" applyFill="1" applyBorder="1"/>
    <xf numFmtId="175" fontId="8" fillId="47" borderId="4" xfId="60" applyNumberFormat="1" applyFill="1" applyBorder="1" applyAlignment="1">
      <alignment horizontal="right"/>
    </xf>
    <xf numFmtId="4" fontId="0" fillId="47" borderId="0" xfId="0" applyNumberFormat="1" applyFill="1" applyAlignment="1">
      <alignment horizontal="right"/>
    </xf>
    <xf numFmtId="175" fontId="8" fillId="47" borderId="0" xfId="60" applyNumberFormat="1" applyFill="1" applyAlignment="1"/>
    <xf numFmtId="17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applyNumberFormat="1" applyBorder="1" applyAlignment="1">
      <alignment horizontal="left" vertical="top" wrapText="1"/>
      <protection locked="0"/>
    </xf>
    <xf numFmtId="170" fontId="34" fillId="0" borderId="0" xfId="56" applyNumberFormat="1" applyAlignment="1">
      <alignment horizontal="left" vertical="top"/>
    </xf>
    <xf numFmtId="170" fontId="34" fillId="0" borderId="0" xfId="56" applyNumberFormat="1" applyAlignment="1">
      <alignment horizontal="left" vertical="top" wrapText="1"/>
    </xf>
    <xf numFmtId="0" fontId="25" fillId="0" borderId="0" xfId="0" applyFont="1" applyAlignment="1">
      <alignment horizontal="left" vertical="top" wrapText="1"/>
    </xf>
    <xf numFmtId="0" fontId="34" fillId="0" borderId="0" xfId="56" applyNumberFormat="1" applyAlignment="1">
      <alignment horizontal="left" vertical="top"/>
    </xf>
    <xf numFmtId="0" fontId="1" fillId="3" borderId="0" xfId="1" applyNumberFormat="1" applyAlignment="1">
      <alignment horizontal="left" vertical="top"/>
    </xf>
    <xf numFmtId="0" fontId="1" fillId="3" borderId="0" xfId="1" applyNumberFormat="1" applyAlignment="1">
      <alignment vertical="top"/>
    </xf>
    <xf numFmtId="168" fontId="8" fillId="4" borderId="2" xfId="55" applyBorder="1">
      <alignment vertical="top"/>
    </xf>
    <xf numFmtId="0" fontId="7" fillId="38" borderId="0" xfId="59" applyAlignment="1" applyProtection="1">
      <alignment vertical="top"/>
      <protection locked="0"/>
    </xf>
    <xf numFmtId="0" fontId="8" fillId="2" borderId="0" xfId="51" applyAlignment="1">
      <alignment vertical="top"/>
      <protection locked="0"/>
    </xf>
    <xf numFmtId="0" fontId="8" fillId="39" borderId="0" xfId="51" applyFill="1" applyAlignment="1">
      <alignment vertical="top"/>
      <protection locked="0"/>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6" xfId="60" applyNumberFormat="1" applyBorder="1" applyAlignment="1">
      <alignment vertical="top"/>
    </xf>
    <xf numFmtId="0" fontId="7" fillId="0" borderId="0" xfId="50" applyAlignment="1">
      <alignment vertical="top"/>
    </xf>
    <xf numFmtId="0" fontId="1" fillId="5" borderId="0" xfId="49"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3" xfId="0" applyFill="1" applyBorder="1" applyAlignment="1">
      <alignment vertical="top"/>
    </xf>
    <xf numFmtId="0" fontId="27" fillId="0" borderId="0" xfId="0" applyFont="1" applyAlignment="1">
      <alignment horizontal="left" vertical="top"/>
    </xf>
    <xf numFmtId="0" fontId="35" fillId="0" borderId="4" xfId="52" applyNumberFormat="1" applyBorder="1" applyAlignment="1">
      <alignment horizontal="right"/>
    </xf>
    <xf numFmtId="0" fontId="26" fillId="46" borderId="0" xfId="54" quotePrefix="1" applyFill="1" applyBorder="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xr:uid="{00000000-0005-0000-0000-000018000000}"/>
    <cellStyle name="Bad" xfId="61" builtinId="27" hidden="1"/>
    <cellStyle name="Bad" xfId="13" builtinId="27" hidden="1"/>
    <cellStyle name="Blank_CEPATNEI" xfId="55" xr:uid="{00000000-0005-0000-0000-00001B000000}"/>
    <cellStyle name="Calculation" xfId="17" builtinId="22" hidden="1"/>
    <cellStyle name="Calculation_CEPATNEI" xfId="60" xr:uid="{00000000-0005-0000-0000-00001D000000}"/>
    <cellStyle name="Check Cell" xfId="19" builtinId="23" hidden="1"/>
    <cellStyle name="ColumnHeading_CEPATNEI" xfId="1" xr:uid="{00000000-0005-0000-0000-00001F000000}"/>
    <cellStyle name="Comma" xfId="57" builtinId="3" hidden="1"/>
    <cellStyle name="Comma" xfId="2" builtinId="3" hidden="1"/>
    <cellStyle name="Comma [0]" xfId="3" builtinId="6" hidden="1"/>
    <cellStyle name="Currency" xfId="4" builtinId="4" hidden="1"/>
    <cellStyle name="Currency [0]" xfId="5" builtinId="7" hidden="1"/>
    <cellStyle name="EmptyCell_CEPATNEI" xfId="64" xr:uid="{00000000-0005-0000-0000-000025000000}"/>
    <cellStyle name="Explanatory Text" xfId="22" builtinId="53" hidden="1"/>
    <cellStyle name="Fixed_CEPATNEI" xfId="59" xr:uid="{00000000-0005-0000-0000-000027000000}"/>
    <cellStyle name="Followed Hyperlink 2" xfId="67" xr:uid="{00000000-0005-0000-0000-000046000000}"/>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xr:uid="{00000000-0005-0000-0000-000047000000}"/>
    <cellStyle name="Input" xfId="15" builtinId="20" hidden="1"/>
    <cellStyle name="Input_CEPATNEI" xfId="51" xr:uid="{00000000-0005-0000-0000-00002F000000}"/>
    <cellStyle name="Linked Cell" xfId="18" builtinId="24" hidden="1"/>
    <cellStyle name="LinkedTo_CEPATNEI" xfId="52" xr:uid="{00000000-0005-0000-0000-000031000000}"/>
    <cellStyle name="LinksFrom_CEPATNEI" xfId="56" xr:uid="{00000000-0005-0000-0000-000032000000}"/>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xr:uid="{00000000-0005-0000-0000-000038000000}"/>
    <cellStyle name="Percent" xfId="62" builtinId="5" hidden="1"/>
    <cellStyle name="Percent" xfId="6" builtinId="5" hidden="1"/>
    <cellStyle name="RowHeading_CEPATNEI" xfId="53" xr:uid="{00000000-0005-0000-0000-00003B000000}"/>
    <cellStyle name="SectionHeading_CEPATNEI" xfId="49" xr:uid="{00000000-0005-0000-0000-00003C000000}"/>
    <cellStyle name="SubSection_CEPATNEI" xfId="48" xr:uid="{00000000-0005-0000-0000-00003D000000}"/>
    <cellStyle name="Text_CEPATNEI" xfId="50" xr:uid="{00000000-0005-0000-0000-00003E000000}"/>
    <cellStyle name="Title" xfId="7" builtinId="15" hidden="1"/>
    <cellStyle name="Total" xfId="23" builtinId="25" hidden="1"/>
    <cellStyle name="Warning Text" xfId="20" builtinId="11" hidden="1"/>
  </cellStyles>
  <dxfs count="229">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CC3399"/>
      <color rgb="FFD086CC"/>
      <color rgb="FFFF9999"/>
      <color rgb="FFFF4343"/>
      <color rgb="FFFFAFAF"/>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0</xdr:row>
      <xdr:rowOff>174624</xdr:rowOff>
    </xdr:from>
    <xdr:to>
      <xdr:col>1</xdr:col>
      <xdr:colOff>579437</xdr:colOff>
      <xdr:row>3</xdr:row>
      <xdr:rowOff>13012</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5340" y="174624"/>
          <a:ext cx="568722" cy="584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698103</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39997558519241921"/>
    <pageSetUpPr fitToPage="1"/>
  </sheetPr>
  <dimension ref="A2:E52"/>
  <sheetViews>
    <sheetView showGridLines="0" showRowColHeaders="0" tabSelected="1" zoomScale="80" zoomScaleNormal="80" workbookViewId="0"/>
  </sheetViews>
  <sheetFormatPr defaultColWidth="0" defaultRowHeight="15" customHeight="1" x14ac:dyDescent="0.35"/>
  <cols>
    <col min="1" max="1" width="2.54296875" style="3" customWidth="1"/>
    <col min="2" max="2" width="22.54296875" style="3" customWidth="1"/>
    <col min="3" max="3" width="2.54296875" style="3" customWidth="1"/>
    <col min="4" max="4" width="100.453125" style="4" customWidth="1"/>
    <col min="5" max="5" width="2.54296875" style="3" customWidth="1"/>
    <col min="6" max="16384" width="9.453125" style="3" hidden="1"/>
  </cols>
  <sheetData>
    <row r="2" spans="2:4" ht="28.5" x14ac:dyDescent="0.35">
      <c r="D2" s="15" t="s">
        <v>0</v>
      </c>
    </row>
    <row r="4" spans="2:4" ht="21" x14ac:dyDescent="0.35">
      <c r="D4" s="428" t="s">
        <v>1167</v>
      </c>
    </row>
    <row r="5" spans="2:4" ht="15" customHeight="1" x14ac:dyDescent="0.35">
      <c r="D5" s="16"/>
    </row>
    <row r="6" spans="2:4" ht="15" customHeight="1" x14ac:dyDescent="0.35">
      <c r="B6" s="17" t="str">
        <f>'Version control'!F7</f>
        <v>Model date:</v>
      </c>
      <c r="D6" s="426">
        <f>'Version control'!H7</f>
        <v>44861</v>
      </c>
    </row>
    <row r="7" spans="2:4" ht="15" customHeight="1" x14ac:dyDescent="0.35">
      <c r="D7" s="429"/>
    </row>
    <row r="8" spans="2:4" ht="15" customHeight="1" x14ac:dyDescent="0.35">
      <c r="B8" s="17" t="str">
        <f>'Version control'!F9</f>
        <v>Development stage:</v>
      </c>
      <c r="D8" s="426" t="str">
        <f>'Version control'!H9</f>
        <v>Release for charge setting</v>
      </c>
    </row>
    <row r="9" spans="2:4" ht="15" customHeight="1" x14ac:dyDescent="0.35">
      <c r="D9" s="429"/>
    </row>
    <row r="10" spans="2:4" ht="15" customHeight="1" x14ac:dyDescent="0.35">
      <c r="B10" s="17" t="str">
        <f>'Version control'!F11</f>
        <v>Model number:</v>
      </c>
      <c r="D10" s="429">
        <f>'Version control'!H11</f>
        <v>9</v>
      </c>
    </row>
    <row r="11" spans="2:4" ht="15" customHeight="1" x14ac:dyDescent="0.35">
      <c r="D11" s="429"/>
    </row>
    <row r="12" spans="2:4" ht="30" customHeight="1" x14ac:dyDescent="0.35">
      <c r="B12" s="17" t="str">
        <f>'Version control'!F13</f>
        <v>DCUSA text version:</v>
      </c>
      <c r="D12" s="427" t="str">
        <f>'Version control'!H13</f>
        <v>Attachment A_2024-25 Charging Methodologies Pre-Release (shared 06/10/2022)</v>
      </c>
    </row>
    <row r="13" spans="2:4" ht="15" customHeight="1" x14ac:dyDescent="0.35">
      <c r="D13" s="429"/>
    </row>
    <row r="14" spans="2:4" ht="15" customHeight="1" x14ac:dyDescent="0.35">
      <c r="B14" s="17" t="str">
        <f>'Version control'!F15</f>
        <v>DCUSA text schedule:</v>
      </c>
      <c r="D14" s="426" t="str">
        <f>'Version control'!H15</f>
        <v>Schedule 16</v>
      </c>
    </row>
    <row r="16" spans="2:4" ht="29" x14ac:dyDescent="0.35">
      <c r="B16" s="17" t="s">
        <v>1</v>
      </c>
      <c r="D16" s="7" t="s">
        <v>1135</v>
      </c>
    </row>
    <row r="17" spans="2:4" ht="14.5" x14ac:dyDescent="0.35">
      <c r="D17" s="4" t="s">
        <v>2</v>
      </c>
    </row>
    <row r="18" spans="2:4" ht="14.5" x14ac:dyDescent="0.35">
      <c r="D18" s="3"/>
    </row>
    <row r="19" spans="2:4" ht="15" customHeight="1" x14ac:dyDescent="0.35">
      <c r="B19" s="17" t="s">
        <v>3</v>
      </c>
      <c r="D19" s="231" t="s">
        <v>1168</v>
      </c>
    </row>
    <row r="21" spans="2:4" ht="15" customHeight="1" x14ac:dyDescent="0.35">
      <c r="B21" s="17" t="s">
        <v>4</v>
      </c>
      <c r="D21" s="231" t="s">
        <v>1170</v>
      </c>
    </row>
    <row r="23" spans="2:4" ht="15" customHeight="1" x14ac:dyDescent="0.35">
      <c r="B23" s="17" t="s">
        <v>5</v>
      </c>
      <c r="D23" s="231" t="s">
        <v>1171</v>
      </c>
    </row>
    <row r="25" spans="2:4" ht="30" customHeight="1" x14ac:dyDescent="0.35">
      <c r="B25" s="17" t="s">
        <v>6</v>
      </c>
      <c r="D25" s="231" t="s">
        <v>7</v>
      </c>
    </row>
    <row r="26" spans="2:4" ht="15" customHeight="1" x14ac:dyDescent="0.35">
      <c r="B26" s="17"/>
    </row>
    <row r="27" spans="2:4" ht="15" customHeight="1" x14ac:dyDescent="0.35">
      <c r="B27" s="17" t="s">
        <v>8</v>
      </c>
    </row>
    <row r="28" spans="2:4" ht="15" customHeight="1" x14ac:dyDescent="0.35">
      <c r="B28" s="430" t="s">
        <v>9</v>
      </c>
      <c r="C28" s="431"/>
      <c r="D28" s="431" t="s">
        <v>10</v>
      </c>
    </row>
    <row r="29" spans="2:4" ht="14.5" x14ac:dyDescent="0.35">
      <c r="B29" s="432"/>
      <c r="C29" s="59"/>
      <c r="D29" s="59" t="s">
        <v>11</v>
      </c>
    </row>
    <row r="30" spans="2:4" ht="14.5" x14ac:dyDescent="0.35">
      <c r="B30" s="433" t="s">
        <v>12</v>
      </c>
      <c r="D30" s="3" t="s">
        <v>13</v>
      </c>
    </row>
    <row r="31" spans="2:4" ht="14.5" x14ac:dyDescent="0.35">
      <c r="B31" s="434" t="s">
        <v>12</v>
      </c>
      <c r="D31" s="3" t="s">
        <v>14</v>
      </c>
    </row>
    <row r="32" spans="2:4" ht="14.5" x14ac:dyDescent="0.35">
      <c r="B32" s="435" t="s">
        <v>12</v>
      </c>
      <c r="D32" s="3" t="s">
        <v>15</v>
      </c>
    </row>
    <row r="33" spans="2:4" ht="14.5" x14ac:dyDescent="0.35">
      <c r="B33" s="436" t="s">
        <v>12</v>
      </c>
      <c r="D33" s="3" t="s">
        <v>16</v>
      </c>
    </row>
    <row r="34" spans="2:4" ht="14.5" x14ac:dyDescent="0.35">
      <c r="B34" s="437" t="s">
        <v>12</v>
      </c>
      <c r="D34" s="3" t="s">
        <v>17</v>
      </c>
    </row>
    <row r="35" spans="2:4" ht="14.5" x14ac:dyDescent="0.35">
      <c r="B35" s="438" t="s">
        <v>12</v>
      </c>
      <c r="D35" s="3" t="s">
        <v>18</v>
      </c>
    </row>
    <row r="36" spans="2:4" ht="14.5" x14ac:dyDescent="0.35">
      <c r="B36" s="439" t="s">
        <v>12</v>
      </c>
      <c r="D36" s="3" t="s">
        <v>19</v>
      </c>
    </row>
    <row r="37" spans="2:4" ht="14.5" x14ac:dyDescent="0.35">
      <c r="B37" s="440" t="s">
        <v>20</v>
      </c>
      <c r="D37" s="3" t="s">
        <v>21</v>
      </c>
    </row>
    <row r="38" spans="2:4" ht="15" customHeight="1" x14ac:dyDescent="0.35">
      <c r="B38" s="360" t="s">
        <v>20</v>
      </c>
      <c r="D38" s="3" t="s">
        <v>22</v>
      </c>
    </row>
    <row r="39" spans="2:4" ht="15" customHeight="1" x14ac:dyDescent="0.35">
      <c r="B39" s="431" t="s">
        <v>20</v>
      </c>
      <c r="D39" s="3" t="s">
        <v>23</v>
      </c>
    </row>
    <row r="40" spans="2:4" ht="15" customHeight="1" x14ac:dyDescent="0.35">
      <c r="B40" s="441" t="s">
        <v>20</v>
      </c>
      <c r="D40" s="3" t="s">
        <v>24</v>
      </c>
    </row>
    <row r="41" spans="2:4" ht="15" customHeight="1" x14ac:dyDescent="0.35">
      <c r="B41" s="165" t="s">
        <v>20</v>
      </c>
      <c r="D41" s="3" t="s">
        <v>25</v>
      </c>
    </row>
    <row r="42" spans="2:4" ht="15" customHeight="1" x14ac:dyDescent="0.35">
      <c r="B42" s="442" t="s">
        <v>20</v>
      </c>
      <c r="D42" s="3" t="s">
        <v>26</v>
      </c>
    </row>
    <row r="43" spans="2:4" ht="15" customHeight="1" x14ac:dyDescent="0.35">
      <c r="B43" s="443" t="s">
        <v>27</v>
      </c>
      <c r="D43" s="3" t="s">
        <v>28</v>
      </c>
    </row>
    <row r="44" spans="2:4" ht="15" customHeight="1" x14ac:dyDescent="0.35">
      <c r="B44" s="444" t="s">
        <v>27</v>
      </c>
      <c r="D44" s="3" t="s">
        <v>29</v>
      </c>
    </row>
    <row r="45" spans="2:4" ht="15" customHeight="1" x14ac:dyDescent="0.35">
      <c r="B45" s="445" t="s">
        <v>27</v>
      </c>
      <c r="D45" s="3" t="s">
        <v>30</v>
      </c>
    </row>
    <row r="46" spans="2:4" ht="15" customHeight="1" x14ac:dyDescent="0.35">
      <c r="B46" s="446" t="s">
        <v>27</v>
      </c>
      <c r="C46" s="66"/>
      <c r="D46" s="66" t="s">
        <v>31</v>
      </c>
    </row>
    <row r="47" spans="2:4" ht="15" customHeight="1" x14ac:dyDescent="0.35">
      <c r="D47" s="447"/>
    </row>
    <row r="48" spans="2:4" ht="15" customHeight="1" x14ac:dyDescent="0.35">
      <c r="B48" s="4"/>
    </row>
    <row r="49" spans="2:4" ht="15" customHeight="1" x14ac:dyDescent="0.35">
      <c r="B49" s="29"/>
    </row>
    <row r="50" spans="2:4" ht="15" customHeight="1" x14ac:dyDescent="0.35">
      <c r="B50" s="29"/>
    </row>
    <row r="51" spans="2:4" ht="15" customHeight="1" x14ac:dyDescent="0.35">
      <c r="B51" s="29"/>
    </row>
    <row r="52" spans="2:4" ht="15" customHeight="1" x14ac:dyDescent="0.35">
      <c r="B52" s="29"/>
      <c r="D52" s="3"/>
    </row>
  </sheetData>
  <sheetProtection sheet="1" formatCells="0" formatColumns="0" formatRows="0" sort="0" autoFilter="0"/>
  <dataValidations count="1">
    <dataValidation allowBlank="1" showInputMessage="1" showErrorMessage="1" prompt="Year should be entered as YYYY/YY_x000a_(e.g. 2019/20)" sqref="D19" xr:uid="{00000000-0002-0000-0000-000000000000}"/>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9" width="24.54296875" hidden="1" customWidth="1"/>
    <col min="30" max="30" width="3.54296875" hidden="1" customWidth="1"/>
    <col min="31" max="31" width="15.453125" hidden="1" customWidth="1"/>
    <col min="32" max="315" width="24.54296875" hidden="1" customWidth="1"/>
    <col min="316" max="16384" width="8.54296875" hidden="1"/>
  </cols>
  <sheetData>
    <row r="1" spans="1:27" s="1" customFormat="1" x14ac:dyDescent="0.35">
      <c r="A1" s="1" t="str">
        <f ca="1">MID(CELL("filename",A1),FIND("]",CELL("filename",A1))+1,255)</f>
        <v>Standing charge factors</v>
      </c>
    </row>
    <row r="2" spans="1:27" s="1" customFormat="1" x14ac:dyDescent="0.35">
      <c r="A2" s="1" t="str">
        <f>Cover!D21&amp;" - "&amp;Cover!D23</f>
        <v>Southern Electric Power Distribution - Final</v>
      </c>
    </row>
    <row r="3" spans="1:27" s="5" customFormat="1" x14ac:dyDescent="0.35">
      <c r="A3" s="5" t="str">
        <f>Cover!D2&amp;" - "&amp;Cover!D8&amp;" v"&amp;Cover!D10&amp;" - "&amp;Cover!D19</f>
        <v>CDCM charging model - Release for charge setting v9 - 2024/25</v>
      </c>
    </row>
    <row r="4" spans="1:27" x14ac:dyDescent="0.35">
      <c r="A4" s="11" t="str">
        <f>H58 &amp; IF(H58 = 1, " issue", " issues") &amp;" identified in checks on this sheet"</f>
        <v>0 issues identified in checks on this sheet</v>
      </c>
      <c r="B4" s="12"/>
      <c r="C4" s="12"/>
      <c r="D4" s="12"/>
      <c r="E4" s="12"/>
      <c r="F4" s="12"/>
      <c r="G4" s="12"/>
      <c r="H4" s="13"/>
      <c r="I4" s="13"/>
    </row>
    <row r="5" spans="1:27" ht="43.5" x14ac:dyDescent="0.3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35">
      <c r="B7" s="25" t="s">
        <v>10</v>
      </c>
      <c r="C7" s="95"/>
      <c r="D7" s="96"/>
      <c r="E7" s="96"/>
      <c r="F7" s="95"/>
      <c r="G7" s="95"/>
      <c r="H7" s="95"/>
      <c r="I7" s="95"/>
      <c r="J7" s="95"/>
      <c r="K7" s="95"/>
      <c r="L7" s="95"/>
      <c r="M7" s="95"/>
      <c r="N7" s="95"/>
      <c r="O7" s="95"/>
      <c r="P7" s="95"/>
      <c r="Q7" s="95"/>
      <c r="R7" s="95"/>
      <c r="S7" s="95"/>
      <c r="T7" s="95"/>
      <c r="U7" s="95"/>
      <c r="V7" s="95"/>
      <c r="W7" s="95"/>
      <c r="X7" s="95"/>
      <c r="Y7" s="95"/>
      <c r="Z7" s="95"/>
      <c r="AA7" s="95"/>
    </row>
    <row r="9" spans="1:27" x14ac:dyDescent="0.35">
      <c r="C9" s="24" t="s">
        <v>365</v>
      </c>
      <c r="E9"/>
    </row>
    <row r="10" spans="1:27" x14ac:dyDescent="0.35">
      <c r="C10" s="24" t="s">
        <v>366</v>
      </c>
      <c r="E10"/>
    </row>
    <row r="11" spans="1:27" x14ac:dyDescent="0.35">
      <c r="C11" s="24" t="s">
        <v>367</v>
      </c>
      <c r="E11"/>
    </row>
    <row r="12" spans="1:27" x14ac:dyDescent="0.35">
      <c r="C12" s="24" t="s">
        <v>368</v>
      </c>
      <c r="E12"/>
    </row>
    <row r="13" spans="1:27" x14ac:dyDescent="0.35">
      <c r="C13" s="24"/>
      <c r="E13"/>
    </row>
    <row r="14" spans="1:27" x14ac:dyDescent="0.35">
      <c r="C14" s="24" t="s">
        <v>369</v>
      </c>
      <c r="E14"/>
    </row>
    <row r="15" spans="1:27" x14ac:dyDescent="0.35">
      <c r="C15" s="24" t="s">
        <v>370</v>
      </c>
      <c r="E15"/>
    </row>
    <row r="17" spans="2:27" x14ac:dyDescent="0.35">
      <c r="B17" s="25" t="s">
        <v>371</v>
      </c>
      <c r="C17" s="95"/>
      <c r="D17" s="96"/>
      <c r="E17" s="96"/>
      <c r="F17" s="95"/>
      <c r="G17" s="95"/>
      <c r="H17" s="95"/>
      <c r="I17" s="95"/>
      <c r="J17" s="95"/>
      <c r="K17" s="95"/>
      <c r="L17" s="95"/>
      <c r="M17" s="95"/>
      <c r="N17" s="95"/>
      <c r="O17" s="95"/>
      <c r="P17" s="95"/>
      <c r="Q17" s="95"/>
      <c r="R17" s="95"/>
      <c r="S17" s="95"/>
      <c r="T17" s="95"/>
      <c r="U17" s="95"/>
      <c r="V17" s="95"/>
      <c r="W17" s="95"/>
      <c r="X17" s="95"/>
      <c r="Y17" s="95"/>
      <c r="Z17" s="95"/>
      <c r="AA17" s="95"/>
    </row>
    <row r="18" spans="2:27" x14ac:dyDescent="0.35">
      <c r="C18" s="78"/>
    </row>
    <row r="19" spans="2:27" x14ac:dyDescent="0.35">
      <c r="C19" s="26" t="str">
        <f ca="1">INDEX('Version control'!$H$38:$H$61,MATCH($A$1,'Version control'!$F$38:$F$61,0),1)&amp;"-A: Adjustments to standing charges"</f>
        <v>Section 101-A: Adjustments to standing charges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2:27" x14ac:dyDescent="0.35">
      <c r="C20" s="78"/>
    </row>
    <row r="21" spans="2:27" x14ac:dyDescent="0.35">
      <c r="D21" s="24" t="s">
        <v>372</v>
      </c>
      <c r="F21" s="2"/>
    </row>
    <row r="22" spans="2:27" x14ac:dyDescent="0.35">
      <c r="D22" s="78"/>
      <c r="F22" s="2"/>
    </row>
    <row r="23" spans="2:27" x14ac:dyDescent="0.35">
      <c r="D23"/>
      <c r="E23" s="27" t="s">
        <v>373</v>
      </c>
      <c r="F23" s="27"/>
      <c r="I23" t="s">
        <v>154</v>
      </c>
      <c r="AA23" t="s">
        <v>203</v>
      </c>
    </row>
    <row r="24" spans="2:27" x14ac:dyDescent="0.35">
      <c r="D24"/>
      <c r="E24" s="24" t="s">
        <v>374</v>
      </c>
    </row>
    <row r="25" spans="2:27" x14ac:dyDescent="0.35">
      <c r="D25" s="78"/>
      <c r="F25" s="19" t="s">
        <v>189</v>
      </c>
      <c r="G25" s="19" t="s">
        <v>167</v>
      </c>
      <c r="H25" s="19"/>
      <c r="I25" s="19"/>
      <c r="J25" s="97">
        <f>'Fixed inputs'!J88</f>
        <v>0</v>
      </c>
      <c r="K25" s="97">
        <f>'Fixed inputs'!K88</f>
        <v>0</v>
      </c>
      <c r="L25" s="97">
        <f>'Fixed inputs'!L88</f>
        <v>0</v>
      </c>
      <c r="M25" s="97">
        <f>'Fixed inputs'!M88</f>
        <v>0</v>
      </c>
      <c r="N25" s="97">
        <f>'Fixed inputs'!N88</f>
        <v>0</v>
      </c>
      <c r="O25" s="97">
        <f>'Fixed inputs'!O88</f>
        <v>0</v>
      </c>
      <c r="P25" s="97">
        <f>'Fixed inputs'!P88</f>
        <v>0</v>
      </c>
      <c r="Q25" s="97">
        <f>'Fixed inputs'!Q88</f>
        <v>0</v>
      </c>
      <c r="R25" s="55"/>
      <c r="S25" s="55"/>
      <c r="T25" s="55"/>
      <c r="U25" s="55"/>
      <c r="V25" s="55"/>
      <c r="W25" s="55"/>
      <c r="X25" s="55"/>
      <c r="Y25" s="55"/>
    </row>
    <row r="26" spans="2:27" x14ac:dyDescent="0.35">
      <c r="D26" s="78"/>
      <c r="F26" t="s">
        <v>191</v>
      </c>
      <c r="G26" t="s">
        <v>167</v>
      </c>
      <c r="J26" s="21">
        <f>'Fixed inputs'!J89</f>
        <v>0</v>
      </c>
      <c r="K26" s="21">
        <f>'Fixed inputs'!K89</f>
        <v>0</v>
      </c>
      <c r="L26" s="21">
        <f>'Fixed inputs'!L89</f>
        <v>0</v>
      </c>
      <c r="M26" s="21">
        <f>'Fixed inputs'!M89</f>
        <v>0</v>
      </c>
      <c r="N26" s="21">
        <f>'Fixed inputs'!N89</f>
        <v>0</v>
      </c>
      <c r="O26" s="21">
        <f>'Fixed inputs'!O89</f>
        <v>0</v>
      </c>
      <c r="P26" s="21">
        <f>'Fixed inputs'!P89</f>
        <v>0</v>
      </c>
      <c r="Q26" s="21">
        <f>'Fixed inputs'!Q89</f>
        <v>0</v>
      </c>
      <c r="R26" s="56"/>
      <c r="S26" s="56"/>
      <c r="T26" s="56"/>
      <c r="U26" s="56"/>
      <c r="V26" s="56"/>
      <c r="W26" s="56"/>
      <c r="X26" s="56"/>
      <c r="Y26" s="56"/>
    </row>
    <row r="27" spans="2:27" x14ac:dyDescent="0.35">
      <c r="D27" s="78"/>
      <c r="F27" t="s">
        <v>192</v>
      </c>
      <c r="G27" t="s">
        <v>167</v>
      </c>
      <c r="J27" s="21">
        <f>'Fixed inputs'!J90</f>
        <v>0</v>
      </c>
      <c r="K27" s="21">
        <f>'Fixed inputs'!K90</f>
        <v>0</v>
      </c>
      <c r="L27" s="21">
        <f>'Fixed inputs'!L90</f>
        <v>0</v>
      </c>
      <c r="M27" s="21">
        <f>'Fixed inputs'!M90</f>
        <v>0</v>
      </c>
      <c r="N27" s="21">
        <f>'Fixed inputs'!N90</f>
        <v>0</v>
      </c>
      <c r="O27" s="21">
        <f>'Fixed inputs'!O90</f>
        <v>0</v>
      </c>
      <c r="P27" s="21">
        <f>'Fixed inputs'!P90</f>
        <v>0</v>
      </c>
      <c r="Q27" s="21">
        <f>'Fixed inputs'!Q90</f>
        <v>0</v>
      </c>
      <c r="R27" s="56"/>
      <c r="S27" s="56"/>
      <c r="T27" s="56"/>
      <c r="U27" s="56"/>
      <c r="V27" s="56"/>
      <c r="W27" s="56"/>
      <c r="X27" s="56"/>
      <c r="Y27" s="56"/>
    </row>
    <row r="28" spans="2:27" x14ac:dyDescent="0.35">
      <c r="D28" s="78"/>
      <c r="F28" t="s">
        <v>193</v>
      </c>
      <c r="G28" t="s">
        <v>167</v>
      </c>
      <c r="J28" s="21">
        <f>'Fixed inputs'!J91</f>
        <v>0</v>
      </c>
      <c r="K28" s="21">
        <f>'Fixed inputs'!K91</f>
        <v>0</v>
      </c>
      <c r="L28" s="21">
        <f>'Fixed inputs'!L91</f>
        <v>0</v>
      </c>
      <c r="M28" s="21">
        <f>'Fixed inputs'!M91</f>
        <v>0</v>
      </c>
      <c r="N28" s="21">
        <f>'Fixed inputs'!N91</f>
        <v>0</v>
      </c>
      <c r="O28" s="21">
        <f>'Fixed inputs'!O91</f>
        <v>0</v>
      </c>
      <c r="P28" s="21">
        <f>'Fixed inputs'!P91</f>
        <v>0</v>
      </c>
      <c r="Q28" s="21">
        <f>'Fixed inputs'!Q91</f>
        <v>0</v>
      </c>
      <c r="R28" s="56"/>
      <c r="S28" s="56"/>
      <c r="T28" s="56"/>
      <c r="U28" s="56"/>
      <c r="V28" s="56"/>
      <c r="W28" s="56"/>
      <c r="X28" s="56"/>
      <c r="Y28" s="56"/>
    </row>
    <row r="29" spans="2:27" x14ac:dyDescent="0.35">
      <c r="D29" s="78"/>
      <c r="F29" t="s">
        <v>194</v>
      </c>
      <c r="G29" t="s">
        <v>167</v>
      </c>
      <c r="J29" s="21">
        <f>'Fixed inputs'!J92</f>
        <v>0</v>
      </c>
      <c r="K29" s="21">
        <f>'Fixed inputs'!K92</f>
        <v>0</v>
      </c>
      <c r="L29" s="21">
        <f>'Fixed inputs'!L92</f>
        <v>0</v>
      </c>
      <c r="M29" s="21">
        <f>'Fixed inputs'!M92</f>
        <v>0</v>
      </c>
      <c r="N29" s="21">
        <f>'Fixed inputs'!N92</f>
        <v>0</v>
      </c>
      <c r="O29" s="21">
        <f>'Fixed inputs'!O92</f>
        <v>0</v>
      </c>
      <c r="P29" s="21">
        <f>'Fixed inputs'!P92</f>
        <v>0.2</v>
      </c>
      <c r="Q29" s="21">
        <f>'Fixed inputs'!Q92</f>
        <v>0</v>
      </c>
      <c r="R29" s="56"/>
      <c r="S29" s="56"/>
      <c r="T29" s="56"/>
      <c r="U29" s="56"/>
      <c r="V29" s="56"/>
      <c r="W29" s="56"/>
      <c r="X29" s="56"/>
      <c r="Y29" s="56"/>
    </row>
    <row r="30" spans="2:27" x14ac:dyDescent="0.35">
      <c r="D30" s="78"/>
      <c r="F30" t="s">
        <v>195</v>
      </c>
      <c r="G30" t="s">
        <v>167</v>
      </c>
      <c r="J30" s="21">
        <f>'Fixed inputs'!J93</f>
        <v>0</v>
      </c>
      <c r="K30" s="21">
        <f>'Fixed inputs'!K93</f>
        <v>0</v>
      </c>
      <c r="L30" s="21">
        <f>'Fixed inputs'!L93</f>
        <v>0</v>
      </c>
      <c r="M30" s="21">
        <f>'Fixed inputs'!M93</f>
        <v>0</v>
      </c>
      <c r="N30" s="21">
        <f>'Fixed inputs'!N93</f>
        <v>0</v>
      </c>
      <c r="O30" s="21">
        <f>'Fixed inputs'!O93</f>
        <v>0</v>
      </c>
      <c r="P30" s="21">
        <f>'Fixed inputs'!P93</f>
        <v>1</v>
      </c>
      <c r="Q30" s="21">
        <f>'Fixed inputs'!Q93</f>
        <v>0</v>
      </c>
      <c r="R30" s="56"/>
      <c r="S30" s="56"/>
      <c r="T30" s="56"/>
      <c r="U30" s="56"/>
      <c r="V30" s="56"/>
      <c r="W30" s="56"/>
      <c r="X30" s="56"/>
      <c r="Y30" s="56"/>
    </row>
    <row r="31" spans="2:27" x14ac:dyDescent="0.35">
      <c r="D31" s="78"/>
      <c r="F31" t="s">
        <v>196</v>
      </c>
      <c r="G31" t="s">
        <v>167</v>
      </c>
      <c r="J31" s="21">
        <f>'Fixed inputs'!J94</f>
        <v>0</v>
      </c>
      <c r="K31" s="21">
        <f>'Fixed inputs'!K94</f>
        <v>0</v>
      </c>
      <c r="L31" s="21">
        <f>'Fixed inputs'!L94</f>
        <v>0</v>
      </c>
      <c r="M31" s="21">
        <f>'Fixed inputs'!M94</f>
        <v>0</v>
      </c>
      <c r="N31" s="21">
        <f>'Fixed inputs'!N94</f>
        <v>0</v>
      </c>
      <c r="O31" s="21">
        <f>'Fixed inputs'!O94</f>
        <v>0</v>
      </c>
      <c r="P31" s="21">
        <f>'Fixed inputs'!P94</f>
        <v>0</v>
      </c>
      <c r="Q31" s="21">
        <f>'Fixed inputs'!Q94</f>
        <v>0</v>
      </c>
      <c r="R31" s="56"/>
      <c r="S31" s="56"/>
      <c r="T31" s="56"/>
      <c r="U31" s="56"/>
      <c r="V31" s="56"/>
      <c r="W31" s="56"/>
      <c r="X31" s="56"/>
      <c r="Y31" s="56"/>
    </row>
    <row r="32" spans="2:27" x14ac:dyDescent="0.35">
      <c r="D32" s="78"/>
      <c r="F32" t="s">
        <v>197</v>
      </c>
      <c r="G32" t="s">
        <v>167</v>
      </c>
      <c r="J32" s="21">
        <f>'Fixed inputs'!J95</f>
        <v>0</v>
      </c>
      <c r="K32" s="21">
        <f>'Fixed inputs'!K95</f>
        <v>0</v>
      </c>
      <c r="L32" s="21">
        <f>'Fixed inputs'!L95</f>
        <v>0</v>
      </c>
      <c r="M32" s="21">
        <f>'Fixed inputs'!M95</f>
        <v>0</v>
      </c>
      <c r="N32" s="21">
        <f>'Fixed inputs'!N95</f>
        <v>0.2</v>
      </c>
      <c r="O32" s="21">
        <f>'Fixed inputs'!O95</f>
        <v>1</v>
      </c>
      <c r="P32" s="21">
        <f>'Fixed inputs'!P95</f>
        <v>1</v>
      </c>
      <c r="Q32" s="21">
        <f>'Fixed inputs'!Q95</f>
        <v>0</v>
      </c>
      <c r="R32" s="56"/>
      <c r="S32" s="56"/>
      <c r="T32" s="56"/>
      <c r="U32" s="56"/>
      <c r="V32" s="56"/>
      <c r="W32" s="56"/>
      <c r="X32" s="56"/>
      <c r="Y32" s="56"/>
    </row>
    <row r="33" spans="4:27" x14ac:dyDescent="0.35">
      <c r="D33" s="78"/>
      <c r="F33" t="s">
        <v>198</v>
      </c>
      <c r="G33" t="s">
        <v>167</v>
      </c>
      <c r="J33" s="21">
        <f>'Fixed inputs'!J96</f>
        <v>0</v>
      </c>
      <c r="K33" s="21">
        <f>'Fixed inputs'!K96</f>
        <v>0</v>
      </c>
      <c r="L33" s="21">
        <f>'Fixed inputs'!L96</f>
        <v>0</v>
      </c>
      <c r="M33" s="21">
        <f>'Fixed inputs'!M96</f>
        <v>0</v>
      </c>
      <c r="N33" s="21">
        <f>'Fixed inputs'!N96</f>
        <v>1</v>
      </c>
      <c r="O33" s="21">
        <f>'Fixed inputs'!O96</f>
        <v>1</v>
      </c>
      <c r="P33" s="21">
        <f>'Fixed inputs'!P96</f>
        <v>0</v>
      </c>
      <c r="Q33" s="21">
        <f>'Fixed inputs'!Q96</f>
        <v>0</v>
      </c>
      <c r="R33" s="56"/>
      <c r="S33" s="56"/>
      <c r="T33" s="56"/>
      <c r="U33" s="56"/>
      <c r="V33" s="56"/>
      <c r="W33" s="56"/>
      <c r="X33" s="56"/>
      <c r="Y33" s="56"/>
    </row>
    <row r="34" spans="4:27" x14ac:dyDescent="0.35">
      <c r="D34" s="78"/>
      <c r="F34" t="s">
        <v>199</v>
      </c>
      <c r="G34" t="s">
        <v>167</v>
      </c>
      <c r="J34" s="21">
        <f>'Fixed inputs'!J97</f>
        <v>1</v>
      </c>
      <c r="K34" s="21">
        <f>'Fixed inputs'!K97</f>
        <v>1</v>
      </c>
      <c r="L34" s="21">
        <f>'Fixed inputs'!L97</f>
        <v>1</v>
      </c>
      <c r="M34" s="21">
        <f>'Fixed inputs'!M97</f>
        <v>1</v>
      </c>
      <c r="N34" s="21">
        <f>'Fixed inputs'!N97</f>
        <v>1</v>
      </c>
      <c r="O34" s="21">
        <f>'Fixed inputs'!O97</f>
        <v>0</v>
      </c>
      <c r="P34" s="21">
        <f>'Fixed inputs'!P97</f>
        <v>0</v>
      </c>
      <c r="Q34" s="21">
        <f>'Fixed inputs'!Q97</f>
        <v>0</v>
      </c>
      <c r="R34" s="56"/>
      <c r="S34" s="56"/>
      <c r="T34" s="56"/>
      <c r="U34" s="56"/>
      <c r="V34" s="56"/>
      <c r="W34" s="56"/>
      <c r="X34" s="56"/>
      <c r="Y34" s="56"/>
    </row>
    <row r="35" spans="4:27" x14ac:dyDescent="0.35">
      <c r="D35" s="78"/>
      <c r="F35" t="s">
        <v>375</v>
      </c>
      <c r="G35" t="s">
        <v>167</v>
      </c>
      <c r="J35" s="56"/>
      <c r="K35" s="56"/>
      <c r="L35" s="56"/>
      <c r="M35" s="56"/>
      <c r="N35" s="56"/>
      <c r="O35" s="56"/>
      <c r="P35" s="56"/>
      <c r="Q35" s="56"/>
      <c r="R35" s="56"/>
      <c r="S35" s="56"/>
      <c r="T35" s="56"/>
      <c r="U35" s="56"/>
      <c r="V35" s="56"/>
      <c r="W35" s="56"/>
      <c r="X35" s="56"/>
      <c r="Y35" s="56"/>
    </row>
    <row r="36" spans="4:27" x14ac:dyDescent="0.35">
      <c r="D36" s="78"/>
      <c r="F36" s="28" t="s">
        <v>376</v>
      </c>
      <c r="G36" s="28" t="s">
        <v>167</v>
      </c>
      <c r="H36" s="28"/>
      <c r="I36" s="28"/>
      <c r="J36" s="58"/>
      <c r="K36" s="58"/>
      <c r="L36" s="58"/>
      <c r="M36" s="58"/>
      <c r="N36" s="58"/>
      <c r="O36" s="58"/>
      <c r="P36" s="58"/>
      <c r="Q36" s="58"/>
      <c r="R36" s="58"/>
      <c r="S36" s="58"/>
      <c r="T36" s="58"/>
      <c r="U36" s="58"/>
      <c r="V36" s="58"/>
      <c r="W36" s="58"/>
      <c r="X36" s="58"/>
      <c r="Y36" s="58"/>
    </row>
    <row r="37" spans="4:27" x14ac:dyDescent="0.35">
      <c r="D37" s="78"/>
      <c r="F37" s="2"/>
    </row>
    <row r="38" spans="4:27" x14ac:dyDescent="0.35">
      <c r="D38"/>
      <c r="E38" s="27" t="s">
        <v>281</v>
      </c>
      <c r="F38" s="2"/>
    </row>
    <row r="39" spans="4:27" x14ac:dyDescent="0.35">
      <c r="D39" s="78"/>
      <c r="E39"/>
      <c r="F39" s="23" t="s">
        <v>281</v>
      </c>
      <c r="G39" s="23" t="s">
        <v>167</v>
      </c>
      <c r="H39" s="21">
        <f>'Inputs by network level'!P17</f>
        <v>0</v>
      </c>
    </row>
    <row r="40" spans="4:27" x14ac:dyDescent="0.35">
      <c r="D40" s="78"/>
      <c r="F40" s="2"/>
    </row>
    <row r="41" spans="4:27" x14ac:dyDescent="0.35">
      <c r="D41"/>
      <c r="E41" s="27" t="s">
        <v>377</v>
      </c>
      <c r="F41" s="27"/>
    </row>
    <row r="42" spans="4:27" x14ac:dyDescent="0.35">
      <c r="D42"/>
      <c r="E42" s="24" t="s">
        <v>378</v>
      </c>
    </row>
    <row r="43" spans="4:27" x14ac:dyDescent="0.35">
      <c r="D43" s="78"/>
      <c r="F43" s="19" t="s">
        <v>189</v>
      </c>
      <c r="G43" s="19" t="s">
        <v>167</v>
      </c>
      <c r="H43" s="19"/>
      <c r="I43" s="19"/>
      <c r="J43" s="55"/>
      <c r="K43" s="55"/>
      <c r="L43" s="55"/>
      <c r="M43" s="55"/>
      <c r="N43" s="55"/>
      <c r="O43" s="55"/>
      <c r="P43" s="55"/>
      <c r="Q43" s="55"/>
      <c r="R43" s="55"/>
      <c r="S43" s="55"/>
      <c r="T43" s="55"/>
      <c r="U43" s="55"/>
      <c r="V43" s="55"/>
      <c r="W43" s="55"/>
      <c r="X43" s="55"/>
      <c r="Y43" s="55"/>
    </row>
    <row r="44" spans="4:27" x14ac:dyDescent="0.35">
      <c r="D44" s="78"/>
      <c r="F44" t="s">
        <v>191</v>
      </c>
      <c r="G44" t="s">
        <v>167</v>
      </c>
      <c r="J44" s="56"/>
      <c r="K44" s="56"/>
      <c r="L44" s="56"/>
      <c r="M44" s="56"/>
      <c r="N44" s="56"/>
      <c r="O44" s="56"/>
      <c r="P44" s="56"/>
      <c r="Q44" s="56"/>
      <c r="R44" s="56"/>
      <c r="S44" s="56"/>
      <c r="T44" s="56"/>
      <c r="U44" s="56"/>
      <c r="V44" s="56"/>
      <c r="W44" s="56"/>
      <c r="X44" s="56"/>
      <c r="Y44" s="56"/>
    </row>
    <row r="45" spans="4:27" x14ac:dyDescent="0.35">
      <c r="D45" s="78"/>
      <c r="F45" s="98" t="s">
        <v>192</v>
      </c>
      <c r="G45" s="98" t="s">
        <v>167</v>
      </c>
      <c r="H45" s="98"/>
      <c r="I45" s="98" t="s">
        <v>154</v>
      </c>
      <c r="J45" s="99">
        <f>IF($H$39 = 0, J27, J29 * $H$39)</f>
        <v>0</v>
      </c>
      <c r="K45" s="99">
        <f t="shared" ref="K45:Q45" si="0">IF($H$39 = 0, K27, K29 * $H$39)</f>
        <v>0</v>
      </c>
      <c r="L45" s="99">
        <f t="shared" si="0"/>
        <v>0</v>
      </c>
      <c r="M45" s="99">
        <f t="shared" si="0"/>
        <v>0</v>
      </c>
      <c r="N45" s="99">
        <f t="shared" si="0"/>
        <v>0</v>
      </c>
      <c r="O45" s="99">
        <f t="shared" si="0"/>
        <v>0</v>
      </c>
      <c r="P45" s="99">
        <f t="shared" si="0"/>
        <v>0</v>
      </c>
      <c r="Q45" s="99">
        <f t="shared" si="0"/>
        <v>0</v>
      </c>
      <c r="R45" s="100"/>
      <c r="S45" s="100"/>
      <c r="T45" s="100"/>
      <c r="U45" s="100"/>
      <c r="V45" s="100"/>
      <c r="W45" s="100"/>
      <c r="X45" s="100"/>
      <c r="Y45" s="100"/>
      <c r="AA45" t="s">
        <v>379</v>
      </c>
    </row>
    <row r="46" spans="4:27" x14ac:dyDescent="0.35">
      <c r="D46" s="78"/>
      <c r="F46" t="s">
        <v>193</v>
      </c>
      <c r="G46" t="s">
        <v>167</v>
      </c>
      <c r="J46" s="101">
        <f t="shared" ref="J46:Q46" si="1">J28</f>
        <v>0</v>
      </c>
      <c r="K46" s="101">
        <f t="shared" si="1"/>
        <v>0</v>
      </c>
      <c r="L46" s="101">
        <f t="shared" si="1"/>
        <v>0</v>
      </c>
      <c r="M46" s="101">
        <f t="shared" si="1"/>
        <v>0</v>
      </c>
      <c r="N46" s="101">
        <f t="shared" si="1"/>
        <v>0</v>
      </c>
      <c r="O46" s="101">
        <f t="shared" si="1"/>
        <v>0</v>
      </c>
      <c r="P46" s="101">
        <f t="shared" si="1"/>
        <v>0</v>
      </c>
      <c r="Q46" s="101">
        <f t="shared" si="1"/>
        <v>0</v>
      </c>
      <c r="R46" s="56"/>
      <c r="S46" s="56"/>
      <c r="T46" s="56"/>
      <c r="U46" s="56"/>
      <c r="V46" s="56"/>
      <c r="W46" s="56"/>
      <c r="X46" s="56"/>
      <c r="Y46" s="56"/>
    </row>
    <row r="47" spans="4:27" x14ac:dyDescent="0.35">
      <c r="D47" s="78"/>
      <c r="F47" t="s">
        <v>194</v>
      </c>
      <c r="G47" t="s">
        <v>167</v>
      </c>
      <c r="J47" s="101">
        <f t="shared" ref="J47:Q47" si="2">J29</f>
        <v>0</v>
      </c>
      <c r="K47" s="101">
        <f t="shared" si="2"/>
        <v>0</v>
      </c>
      <c r="L47" s="101">
        <f t="shared" si="2"/>
        <v>0</v>
      </c>
      <c r="M47" s="101">
        <f t="shared" si="2"/>
        <v>0</v>
      </c>
      <c r="N47" s="101">
        <f t="shared" si="2"/>
        <v>0</v>
      </c>
      <c r="O47" s="101">
        <f t="shared" si="2"/>
        <v>0</v>
      </c>
      <c r="P47" s="101">
        <f t="shared" si="2"/>
        <v>0.2</v>
      </c>
      <c r="Q47" s="101">
        <f t="shared" si="2"/>
        <v>0</v>
      </c>
      <c r="R47" s="56"/>
      <c r="S47" s="56"/>
      <c r="T47" s="56"/>
      <c r="U47" s="56"/>
      <c r="V47" s="56"/>
      <c r="W47" s="56"/>
      <c r="X47" s="56"/>
      <c r="Y47" s="56"/>
    </row>
    <row r="48" spans="4:27" x14ac:dyDescent="0.35">
      <c r="D48" s="78"/>
      <c r="F48" t="s">
        <v>195</v>
      </c>
      <c r="G48" t="s">
        <v>167</v>
      </c>
      <c r="J48" s="101">
        <f t="shared" ref="J48:Q48" si="3">J30</f>
        <v>0</v>
      </c>
      <c r="K48" s="101">
        <f t="shared" si="3"/>
        <v>0</v>
      </c>
      <c r="L48" s="101">
        <f t="shared" si="3"/>
        <v>0</v>
      </c>
      <c r="M48" s="101">
        <f t="shared" si="3"/>
        <v>0</v>
      </c>
      <c r="N48" s="101">
        <f t="shared" si="3"/>
        <v>0</v>
      </c>
      <c r="O48" s="101">
        <f t="shared" si="3"/>
        <v>0</v>
      </c>
      <c r="P48" s="101">
        <f t="shared" si="3"/>
        <v>1</v>
      </c>
      <c r="Q48" s="101">
        <f t="shared" si="3"/>
        <v>0</v>
      </c>
      <c r="R48" s="56"/>
      <c r="S48" s="56"/>
      <c r="T48" s="56"/>
      <c r="U48" s="56"/>
      <c r="V48" s="56"/>
      <c r="W48" s="56"/>
      <c r="X48" s="56"/>
      <c r="Y48" s="56"/>
    </row>
    <row r="49" spans="2:27" x14ac:dyDescent="0.35">
      <c r="D49" s="78"/>
      <c r="F49" s="98" t="s">
        <v>196</v>
      </c>
      <c r="G49" s="98" t="s">
        <v>167</v>
      </c>
      <c r="H49" s="98"/>
      <c r="I49" s="98" t="s">
        <v>154</v>
      </c>
      <c r="J49" s="99">
        <f t="shared" ref="J49:Q49" si="4">J30</f>
        <v>0</v>
      </c>
      <c r="K49" s="99">
        <f t="shared" si="4"/>
        <v>0</v>
      </c>
      <c r="L49" s="99">
        <f t="shared" si="4"/>
        <v>0</v>
      </c>
      <c r="M49" s="99">
        <f t="shared" si="4"/>
        <v>0</v>
      </c>
      <c r="N49" s="99">
        <f t="shared" si="4"/>
        <v>0</v>
      </c>
      <c r="O49" s="99">
        <f t="shared" si="4"/>
        <v>0</v>
      </c>
      <c r="P49" s="99">
        <f t="shared" si="4"/>
        <v>1</v>
      </c>
      <c r="Q49" s="99">
        <f t="shared" si="4"/>
        <v>0</v>
      </c>
      <c r="R49" s="100"/>
      <c r="S49" s="100"/>
      <c r="T49" s="100"/>
      <c r="U49" s="100"/>
      <c r="V49" s="100"/>
      <c r="W49" s="100"/>
      <c r="X49" s="100"/>
      <c r="Y49" s="100"/>
      <c r="AA49" t="s">
        <v>380</v>
      </c>
    </row>
    <row r="50" spans="2:27" x14ac:dyDescent="0.35">
      <c r="D50" s="78"/>
      <c r="F50" t="s">
        <v>197</v>
      </c>
      <c r="G50" t="s">
        <v>167</v>
      </c>
      <c r="J50" s="101">
        <f t="shared" ref="J50:Q50" si="5">J32</f>
        <v>0</v>
      </c>
      <c r="K50" s="101">
        <f t="shared" si="5"/>
        <v>0</v>
      </c>
      <c r="L50" s="101">
        <f t="shared" si="5"/>
        <v>0</v>
      </c>
      <c r="M50" s="101">
        <f t="shared" si="5"/>
        <v>0</v>
      </c>
      <c r="N50" s="101">
        <f t="shared" si="5"/>
        <v>0.2</v>
      </c>
      <c r="O50" s="101">
        <f t="shared" si="5"/>
        <v>1</v>
      </c>
      <c r="P50" s="101">
        <f t="shared" si="5"/>
        <v>1</v>
      </c>
      <c r="Q50" s="101">
        <f t="shared" si="5"/>
        <v>0</v>
      </c>
      <c r="R50" s="56"/>
      <c r="S50" s="56"/>
      <c r="T50" s="56"/>
      <c r="U50" s="56"/>
      <c r="V50" s="56"/>
      <c r="W50" s="56"/>
      <c r="X50" s="56"/>
      <c r="Y50" s="56"/>
    </row>
    <row r="51" spans="2:27" x14ac:dyDescent="0.35">
      <c r="D51" s="78"/>
      <c r="F51" t="s">
        <v>198</v>
      </c>
      <c r="G51" t="s">
        <v>167</v>
      </c>
      <c r="J51" s="101">
        <f t="shared" ref="J51:Q51" si="6">J33</f>
        <v>0</v>
      </c>
      <c r="K51" s="101">
        <f t="shared" si="6"/>
        <v>0</v>
      </c>
      <c r="L51" s="101">
        <f t="shared" si="6"/>
        <v>0</v>
      </c>
      <c r="M51" s="101">
        <f t="shared" si="6"/>
        <v>0</v>
      </c>
      <c r="N51" s="101">
        <f t="shared" si="6"/>
        <v>1</v>
      </c>
      <c r="O51" s="101">
        <f t="shared" si="6"/>
        <v>1</v>
      </c>
      <c r="P51" s="101">
        <f t="shared" si="6"/>
        <v>0</v>
      </c>
      <c r="Q51" s="101">
        <f t="shared" si="6"/>
        <v>0</v>
      </c>
      <c r="R51" s="56"/>
      <c r="S51" s="56"/>
      <c r="T51" s="56"/>
      <c r="U51" s="56"/>
      <c r="V51" s="56"/>
      <c r="W51" s="56"/>
      <c r="X51" s="56"/>
      <c r="Y51" s="56"/>
    </row>
    <row r="52" spans="2:27" x14ac:dyDescent="0.35">
      <c r="D52" s="78"/>
      <c r="F52" t="s">
        <v>199</v>
      </c>
      <c r="G52" t="s">
        <v>167</v>
      </c>
      <c r="J52" s="101">
        <f t="shared" ref="J52:Q52" si="7">J34</f>
        <v>1</v>
      </c>
      <c r="K52" s="101">
        <f t="shared" si="7"/>
        <v>1</v>
      </c>
      <c r="L52" s="101">
        <f t="shared" si="7"/>
        <v>1</v>
      </c>
      <c r="M52" s="101">
        <f t="shared" si="7"/>
        <v>1</v>
      </c>
      <c r="N52" s="101">
        <f t="shared" si="7"/>
        <v>1</v>
      </c>
      <c r="O52" s="101">
        <f t="shared" si="7"/>
        <v>0</v>
      </c>
      <c r="P52" s="101">
        <f t="shared" si="7"/>
        <v>0</v>
      </c>
      <c r="Q52" s="101">
        <f t="shared" si="7"/>
        <v>0</v>
      </c>
      <c r="R52" s="56"/>
      <c r="S52" s="56"/>
      <c r="T52" s="56"/>
      <c r="U52" s="56"/>
      <c r="V52" s="56"/>
      <c r="W52" s="56"/>
      <c r="X52" s="56"/>
      <c r="Y52" s="56"/>
    </row>
    <row r="53" spans="2:27" x14ac:dyDescent="0.35">
      <c r="D53" s="78"/>
      <c r="F53" t="s">
        <v>375</v>
      </c>
      <c r="G53" t="s">
        <v>167</v>
      </c>
      <c r="J53" s="56"/>
      <c r="K53" s="56"/>
      <c r="L53" s="56"/>
      <c r="M53" s="56"/>
      <c r="N53" s="56"/>
      <c r="O53" s="56"/>
      <c r="P53" s="56"/>
      <c r="Q53" s="56"/>
      <c r="R53" s="56"/>
      <c r="S53" s="56"/>
      <c r="T53" s="56"/>
      <c r="U53" s="56"/>
      <c r="V53" s="56"/>
      <c r="W53" s="56"/>
      <c r="X53" s="56"/>
      <c r="Y53" s="56"/>
    </row>
    <row r="54" spans="2:27" x14ac:dyDescent="0.35">
      <c r="D54" s="78"/>
      <c r="F54" s="28" t="s">
        <v>376</v>
      </c>
      <c r="G54" s="28" t="s">
        <v>167</v>
      </c>
      <c r="H54" s="28"/>
      <c r="I54" s="28"/>
      <c r="J54" s="58"/>
      <c r="K54" s="58"/>
      <c r="L54" s="58"/>
      <c r="M54" s="58"/>
      <c r="N54" s="58"/>
      <c r="O54" s="58"/>
      <c r="P54" s="58"/>
      <c r="Q54" s="58"/>
      <c r="R54" s="58"/>
      <c r="S54" s="58"/>
      <c r="T54" s="58"/>
      <c r="U54" s="58"/>
      <c r="V54" s="58"/>
      <c r="W54" s="58"/>
      <c r="X54" s="58"/>
      <c r="Y54" s="58"/>
    </row>
    <row r="55" spans="2:27" x14ac:dyDescent="0.35">
      <c r="C55" s="78"/>
    </row>
    <row r="56" spans="2:27" x14ac:dyDescent="0.35">
      <c r="B56" s="25" t="s">
        <v>231</v>
      </c>
      <c r="C56" s="25"/>
      <c r="D56" s="95"/>
      <c r="E56" s="95"/>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35">
      <c r="D57"/>
      <c r="E57"/>
    </row>
    <row r="58" spans="2:27" x14ac:dyDescent="0.35">
      <c r="D58"/>
      <c r="E58" t="s">
        <v>232</v>
      </c>
      <c r="G58" s="6" t="s">
        <v>55</v>
      </c>
      <c r="H58" s="93">
        <f t="array" ref="H58">SUM(IF(ISERROR(H25:Y54), 1))</f>
        <v>0</v>
      </c>
    </row>
    <row r="59" spans="2:27" x14ac:dyDescent="0.35">
      <c r="D59"/>
      <c r="E59"/>
    </row>
    <row r="60" spans="2:27" x14ac:dyDescent="0.35">
      <c r="B60" s="25" t="s">
        <v>106</v>
      </c>
      <c r="C60" s="94"/>
      <c r="D60" s="102"/>
      <c r="E60" s="102"/>
      <c r="F60" s="94"/>
      <c r="G60" s="94"/>
      <c r="H60" s="94"/>
      <c r="I60" s="94"/>
      <c r="J60" s="94"/>
      <c r="K60" s="94"/>
      <c r="L60" s="94"/>
      <c r="M60" s="94"/>
      <c r="N60" s="94"/>
      <c r="O60" s="94"/>
      <c r="P60" s="94"/>
      <c r="Q60" s="94"/>
      <c r="R60" s="94"/>
      <c r="S60" s="94"/>
      <c r="T60" s="94"/>
      <c r="U60" s="94"/>
      <c r="V60" s="94"/>
      <c r="W60" s="94"/>
      <c r="X60" s="94"/>
      <c r="Y60" s="94"/>
      <c r="Z60" s="95"/>
      <c r="AA60" s="95"/>
    </row>
  </sheetData>
  <sheetProtection sheet="1" objects="1" formatCells="0" formatColumns="0" formatRows="0" sort="0" autoFilter="0"/>
  <conditionalFormatting sqref="A4:I4 Z4:XFD4">
    <cfRule type="expression" dxfId="180" priority="10">
      <formula>LEFT($A$4,1) &lt;&gt; "0"</formula>
    </cfRule>
  </conditionalFormatting>
  <conditionalFormatting sqref="N4:P4">
    <cfRule type="expression" dxfId="179" priority="9">
      <formula>LEFT($A$4,1) &lt;&gt; "0"</formula>
    </cfRule>
  </conditionalFormatting>
  <conditionalFormatting sqref="L4:M4">
    <cfRule type="expression" dxfId="178" priority="8">
      <formula>LEFT($A$4,1) &lt;&gt; "0"</formula>
    </cfRule>
  </conditionalFormatting>
  <conditionalFormatting sqref="J4:K4">
    <cfRule type="expression" dxfId="177" priority="7">
      <formula>LEFT($A$4,1) &lt;&gt; "0"</formula>
    </cfRule>
  </conditionalFormatting>
  <conditionalFormatting sqref="Q4">
    <cfRule type="expression" dxfId="176" priority="6">
      <formula>LEFT($A$4,1) &lt;&gt; "0"</formula>
    </cfRule>
  </conditionalFormatting>
  <conditionalFormatting sqref="R4:S4">
    <cfRule type="expression" dxfId="175" priority="5">
      <formula>LEFT($A$4,1) &lt;&gt; "0"</formula>
    </cfRule>
  </conditionalFormatting>
  <conditionalFormatting sqref="T4:U4">
    <cfRule type="expression" dxfId="174" priority="4">
      <formula>LEFT($A$4,1) &lt;&gt; "0"</formula>
    </cfRule>
  </conditionalFormatting>
  <conditionalFormatting sqref="V4:W4">
    <cfRule type="expression" dxfId="173" priority="3">
      <formula>LEFT($A$4,1) &lt;&gt; "0"</formula>
    </cfRule>
  </conditionalFormatting>
  <conditionalFormatting sqref="X4:Y4">
    <cfRule type="expression" dxfId="172" priority="2">
      <formula>LEFT($A$4,1) &lt;&gt; "0"</formula>
    </cfRule>
  </conditionalFormatting>
  <conditionalFormatting sqref="H58">
    <cfRule type="cellIs" dxfId="171" priority="1" operator="greaterThan">
      <formula>0</formula>
    </cfRule>
  </conditionalFormatting>
  <hyperlinks>
    <hyperlink ref="B5:F5" location="'Model map'!A1" display="Click here to return to model map" xr:uid="{00000000-0004-0000-09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21" width="17" customWidth="1"/>
    <col min="22" max="22" width="2.453125" customWidth="1"/>
    <col min="23" max="23" width="50.54296875" customWidth="1"/>
    <col min="24" max="24" width="2.453125" customWidth="1"/>
    <col min="25" max="16384" width="8.54296875" hidden="1"/>
  </cols>
  <sheetData>
    <row r="1" spans="1:23" s="1" customFormat="1" x14ac:dyDescent="0.35">
      <c r="A1" s="1" t="str">
        <f ca="1">MID(CELL("filename",A1),FIND("]",CELL("filename",A1))+1,255)</f>
        <v>Load &amp; loss characteristics</v>
      </c>
    </row>
    <row r="2" spans="1:23" s="1" customFormat="1" x14ac:dyDescent="0.35">
      <c r="A2" s="1" t="str">
        <f>Cover!D21&amp;" - "&amp;Cover!D23</f>
        <v>Southern Electric Power Distribution - Final</v>
      </c>
    </row>
    <row r="3" spans="1:23" s="5" customFormat="1" x14ac:dyDescent="0.35">
      <c r="A3" s="5" t="str">
        <f>Cover!D2&amp;" - "&amp;Cover!D8&amp;" v"&amp;Cover!D10&amp;" - "&amp;Cover!D19</f>
        <v>CDCM charging model - Release for charge setting v9 - 2024/25</v>
      </c>
    </row>
    <row r="4" spans="1:23" x14ac:dyDescent="0.35">
      <c r="A4" s="11" t="str">
        <f>H183 &amp; IF(H183 = 1, " issue", " issues") &amp;" identified in checks on this sheet"</f>
        <v>0 issues identified in checks on this sheet</v>
      </c>
      <c r="B4" s="12"/>
      <c r="C4" s="12"/>
      <c r="D4" s="12"/>
      <c r="E4" s="12"/>
      <c r="F4" s="12"/>
      <c r="G4" s="12"/>
      <c r="H4" s="13"/>
      <c r="I4" s="13"/>
      <c r="J4" s="12"/>
    </row>
    <row r="5" spans="1:23" x14ac:dyDescent="0.35">
      <c r="B5" s="49" t="s">
        <v>142</v>
      </c>
      <c r="C5" s="50"/>
      <c r="D5" s="50"/>
      <c r="E5" s="50"/>
      <c r="F5" s="50"/>
      <c r="G5" s="51" t="s">
        <v>143</v>
      </c>
      <c r="H5" s="52" t="s">
        <v>144</v>
      </c>
      <c r="I5" s="103"/>
      <c r="J5" s="104" t="s">
        <v>189</v>
      </c>
      <c r="K5" s="104" t="s">
        <v>191</v>
      </c>
      <c r="L5" s="104" t="s">
        <v>192</v>
      </c>
      <c r="M5" s="104" t="s">
        <v>193</v>
      </c>
      <c r="N5" s="104" t="s">
        <v>194</v>
      </c>
      <c r="O5" s="104" t="s">
        <v>195</v>
      </c>
      <c r="P5" s="104" t="s">
        <v>196</v>
      </c>
      <c r="Q5" s="104" t="s">
        <v>197</v>
      </c>
      <c r="R5" s="104" t="s">
        <v>198</v>
      </c>
      <c r="S5" s="104" t="s">
        <v>199</v>
      </c>
      <c r="T5" s="104" t="s">
        <v>375</v>
      </c>
      <c r="U5" s="104" t="s">
        <v>376</v>
      </c>
      <c r="W5" s="50" t="s">
        <v>145</v>
      </c>
    </row>
    <row r="6" spans="1:23" x14ac:dyDescent="0.35">
      <c r="H6" s="3"/>
      <c r="I6" s="24"/>
      <c r="J6" s="3"/>
      <c r="K6" s="3"/>
      <c r="L6" s="3"/>
      <c r="M6" s="3"/>
      <c r="N6" s="3"/>
      <c r="O6" s="3"/>
      <c r="P6" s="3"/>
      <c r="Q6" s="3"/>
      <c r="R6" s="3"/>
      <c r="S6" s="3"/>
      <c r="T6" s="3"/>
      <c r="U6" s="3"/>
      <c r="W6" s="3"/>
    </row>
    <row r="7" spans="1:23" x14ac:dyDescent="0.35">
      <c r="B7" s="25" t="s">
        <v>10</v>
      </c>
      <c r="C7" s="25"/>
      <c r="D7" s="25"/>
      <c r="E7" s="25"/>
      <c r="F7" s="25"/>
      <c r="G7" s="25"/>
      <c r="H7" s="25"/>
      <c r="I7" s="25"/>
      <c r="J7" s="25"/>
      <c r="K7" s="25"/>
      <c r="L7" s="25"/>
      <c r="M7" s="25"/>
      <c r="N7" s="25"/>
      <c r="O7" s="25"/>
      <c r="P7" s="25"/>
      <c r="Q7" s="25"/>
      <c r="R7" s="25"/>
      <c r="S7" s="25"/>
      <c r="T7" s="25"/>
      <c r="U7" s="25"/>
      <c r="V7" s="25"/>
      <c r="W7" s="25"/>
    </row>
    <row r="9" spans="1:23" x14ac:dyDescent="0.35">
      <c r="C9" s="24" t="s">
        <v>381</v>
      </c>
    </row>
    <row r="10" spans="1:23" x14ac:dyDescent="0.35">
      <c r="C10" s="24" t="s">
        <v>382</v>
      </c>
    </row>
    <row r="11" spans="1:23" x14ac:dyDescent="0.35">
      <c r="C11" s="24" t="s">
        <v>383</v>
      </c>
    </row>
    <row r="13" spans="1:23" x14ac:dyDescent="0.35">
      <c r="B13" s="25" t="s">
        <v>384</v>
      </c>
      <c r="C13" s="25"/>
      <c r="D13" s="25"/>
      <c r="E13" s="25"/>
      <c r="F13" s="25"/>
      <c r="G13" s="25"/>
      <c r="H13" s="25"/>
      <c r="I13" s="25"/>
      <c r="J13" s="25"/>
      <c r="K13" s="25"/>
      <c r="L13" s="25"/>
      <c r="M13" s="25"/>
      <c r="N13" s="25"/>
      <c r="O13" s="25"/>
      <c r="P13" s="25"/>
      <c r="Q13" s="25"/>
      <c r="R13" s="25"/>
      <c r="S13" s="25"/>
      <c r="T13" s="25"/>
      <c r="U13" s="25"/>
      <c r="V13" s="25"/>
      <c r="W13" s="25"/>
    </row>
    <row r="14" spans="1:23" x14ac:dyDescent="0.35">
      <c r="H14" s="3"/>
      <c r="I14" s="3"/>
      <c r="J14" s="3"/>
      <c r="K14" s="3"/>
      <c r="L14" s="3"/>
      <c r="M14" s="3"/>
      <c r="N14" s="3"/>
      <c r="O14" s="3"/>
      <c r="P14" s="3"/>
      <c r="Q14" s="3"/>
      <c r="R14" s="3"/>
      <c r="S14" s="3"/>
      <c r="T14" s="3"/>
      <c r="U14" s="3"/>
      <c r="W14" s="3"/>
    </row>
    <row r="15" spans="1:23" x14ac:dyDescent="0.35">
      <c r="C15" s="24" t="s">
        <v>385</v>
      </c>
      <c r="H15" s="3"/>
      <c r="I15" s="3"/>
      <c r="J15" s="3"/>
      <c r="K15" s="3"/>
      <c r="L15" s="3"/>
      <c r="M15" s="3"/>
      <c r="N15" s="3"/>
      <c r="O15" s="3"/>
      <c r="P15" s="3"/>
      <c r="Q15" s="3"/>
      <c r="R15" s="3"/>
      <c r="S15" s="3"/>
      <c r="T15" s="3"/>
      <c r="U15" s="3"/>
      <c r="W15" s="3"/>
    </row>
    <row r="16" spans="1:23" x14ac:dyDescent="0.35">
      <c r="H16" s="3"/>
      <c r="I16" s="3"/>
      <c r="J16" s="3"/>
      <c r="K16" s="3"/>
      <c r="L16" s="3"/>
      <c r="M16" s="3"/>
      <c r="N16" s="3"/>
      <c r="O16" s="3"/>
      <c r="P16" s="3"/>
      <c r="Q16" s="3"/>
      <c r="R16" s="3"/>
      <c r="S16" s="3"/>
      <c r="T16" s="3"/>
      <c r="U16" s="3"/>
      <c r="W16" s="3"/>
    </row>
    <row r="17" spans="2:23" x14ac:dyDescent="0.35">
      <c r="C17" s="26" t="str">
        <f ca="1">INDEX('Version control'!$H$38:$H$61,MATCH($A$1,'Version control'!$F$38:$F$61,0),1)&amp;"-A: Load characteristics"</f>
        <v>Section 102-A: Load characteristics</v>
      </c>
      <c r="D17" s="26"/>
      <c r="E17" s="26"/>
      <c r="F17" s="26"/>
      <c r="G17" s="26"/>
      <c r="H17" s="26"/>
      <c r="I17" s="26"/>
      <c r="J17" s="26"/>
      <c r="K17" s="26"/>
      <c r="L17" s="26"/>
      <c r="M17" s="26"/>
      <c r="N17" s="26"/>
      <c r="O17" s="26"/>
      <c r="P17" s="26"/>
      <c r="Q17" s="26"/>
      <c r="R17" s="26"/>
      <c r="S17" s="26"/>
      <c r="T17" s="26"/>
      <c r="U17" s="26"/>
      <c r="V17" s="26"/>
      <c r="W17" s="26"/>
    </row>
    <row r="18" spans="2:23" x14ac:dyDescent="0.35">
      <c r="H18" s="3"/>
      <c r="I18" s="3"/>
      <c r="J18" s="3"/>
      <c r="K18" s="3"/>
      <c r="L18" s="3"/>
      <c r="M18" s="3"/>
      <c r="N18" s="3"/>
      <c r="O18" s="3"/>
      <c r="P18" s="3"/>
      <c r="Q18" s="3"/>
      <c r="R18" s="3"/>
      <c r="S18" s="3"/>
      <c r="T18" s="3"/>
      <c r="U18" s="3"/>
      <c r="W18" s="3"/>
    </row>
    <row r="19" spans="2:23" x14ac:dyDescent="0.35">
      <c r="E19" t="s">
        <v>386</v>
      </c>
      <c r="F19" s="105"/>
      <c r="G19" s="12" t="s">
        <v>167</v>
      </c>
      <c r="H19" s="3"/>
      <c r="I19" s="3"/>
      <c r="J19" s="84"/>
      <c r="K19" s="106">
        <f>'Inputs by network level'!K15</f>
        <v>4.4943759092979985E-2</v>
      </c>
      <c r="L19" s="106">
        <f>'Inputs by network level'!L15</f>
        <v>3.0559018482089195E-2</v>
      </c>
      <c r="M19" s="84"/>
      <c r="N19" s="106">
        <f>'Inputs by network level'!N15</f>
        <v>7.7143589516973421E-2</v>
      </c>
      <c r="O19" s="84"/>
      <c r="P19" s="84"/>
      <c r="Q19" s="106">
        <f>'Inputs by network level'!Q15</f>
        <v>0.37</v>
      </c>
      <c r="R19" s="84"/>
      <c r="S19" s="84"/>
      <c r="T19" s="56"/>
      <c r="U19" s="56"/>
    </row>
    <row r="20" spans="2:23" x14ac:dyDescent="0.35">
      <c r="E20" t="s">
        <v>243</v>
      </c>
      <c r="F20" s="105"/>
      <c r="G20" s="12" t="s">
        <v>167</v>
      </c>
      <c r="H20" s="3"/>
      <c r="I20" s="3"/>
      <c r="J20" s="107">
        <f t="shared" ref="J20" si="0">IF(I20 = "", 1, I20 / (1 + J19))</f>
        <v>1</v>
      </c>
      <c r="K20" s="107">
        <f>IF(J20 = "", 1, J20 / (1 + K19))</f>
        <v>0.95698930329801524</v>
      </c>
      <c r="L20" s="107">
        <f t="shared" ref="L20:S20" si="1">IF(K20 = "", 1, K20 / (1 + L19))</f>
        <v>0.92861183700819505</v>
      </c>
      <c r="M20" s="107">
        <f t="shared" si="1"/>
        <v>0.92861183700819505</v>
      </c>
      <c r="N20" s="107">
        <f t="shared" si="1"/>
        <v>0.8621058938155266</v>
      </c>
      <c r="O20" s="107">
        <f t="shared" si="1"/>
        <v>0.8621058938155266</v>
      </c>
      <c r="P20" s="107">
        <f t="shared" si="1"/>
        <v>0.8621058938155266</v>
      </c>
      <c r="Q20" s="107">
        <f t="shared" si="1"/>
        <v>0.62927437504782957</v>
      </c>
      <c r="R20" s="107">
        <f t="shared" si="1"/>
        <v>0.62927437504782957</v>
      </c>
      <c r="S20" s="107">
        <f t="shared" si="1"/>
        <v>0.62927437504782957</v>
      </c>
      <c r="T20" s="56"/>
      <c r="U20" s="56"/>
    </row>
    <row r="21" spans="2:23" x14ac:dyDescent="0.35">
      <c r="E21" t="s">
        <v>387</v>
      </c>
      <c r="F21" s="105"/>
      <c r="G21" s="12" t="s">
        <v>167</v>
      </c>
      <c r="H21" s="3"/>
      <c r="I21" s="3"/>
      <c r="J21" s="107">
        <f>1 / J20 - 1</f>
        <v>0</v>
      </c>
      <c r="K21" s="107">
        <f t="shared" ref="K21:S21" si="2">1 / K20 - 1</f>
        <v>4.4943759092979985E-2</v>
      </c>
      <c r="L21" s="107">
        <f t="shared" si="2"/>
        <v>7.6876214739846072E-2</v>
      </c>
      <c r="M21" s="107">
        <f t="shared" si="2"/>
        <v>7.6876214739846072E-2</v>
      </c>
      <c r="N21" s="107">
        <f t="shared" si="2"/>
        <v>0.15995031141032889</v>
      </c>
      <c r="O21" s="107">
        <f t="shared" si="2"/>
        <v>0.15995031141032889</v>
      </c>
      <c r="P21" s="107">
        <f t="shared" si="2"/>
        <v>0.15995031141032889</v>
      </c>
      <c r="Q21" s="107">
        <f t="shared" si="2"/>
        <v>0.58913192663215064</v>
      </c>
      <c r="R21" s="107">
        <f t="shared" si="2"/>
        <v>0.58913192663215064</v>
      </c>
      <c r="S21" s="107">
        <f t="shared" si="2"/>
        <v>0.58913192663215064</v>
      </c>
      <c r="T21" s="56"/>
      <c r="U21" s="56"/>
    </row>
    <row r="22" spans="2:23" x14ac:dyDescent="0.35">
      <c r="E22" t="s">
        <v>388</v>
      </c>
      <c r="F22" s="105"/>
      <c r="G22" s="12" t="s">
        <v>167</v>
      </c>
      <c r="H22" s="3"/>
      <c r="I22" s="3"/>
      <c r="J22" s="84"/>
      <c r="K22" s="84"/>
      <c r="L22" s="84"/>
      <c r="M22" s="84"/>
      <c r="N22" s="84"/>
      <c r="O22" s="84"/>
      <c r="P22" s="107">
        <f>M21</f>
        <v>7.6876214739846072E-2</v>
      </c>
      <c r="Q22" s="84"/>
      <c r="R22" s="84"/>
      <c r="S22" s="84"/>
      <c r="T22" s="56"/>
      <c r="U22" s="56"/>
    </row>
    <row r="23" spans="2:23" x14ac:dyDescent="0.35">
      <c r="E23" t="s">
        <v>389</v>
      </c>
      <c r="F23" s="105"/>
      <c r="G23" s="12" t="s">
        <v>167</v>
      </c>
      <c r="H23" s="3"/>
      <c r="I23" s="3" t="s">
        <v>154</v>
      </c>
      <c r="J23" s="108">
        <f t="shared" ref="J23:S23" si="3">IF(J22 = "", J21, J22)</f>
        <v>0</v>
      </c>
      <c r="K23" s="108">
        <f t="shared" si="3"/>
        <v>4.4943759092979985E-2</v>
      </c>
      <c r="L23" s="108">
        <f t="shared" si="3"/>
        <v>7.6876214739846072E-2</v>
      </c>
      <c r="M23" s="108">
        <f t="shared" si="3"/>
        <v>7.6876214739846072E-2</v>
      </c>
      <c r="N23" s="108">
        <f t="shared" si="3"/>
        <v>0.15995031141032889</v>
      </c>
      <c r="O23" s="108">
        <f t="shared" si="3"/>
        <v>0.15995031141032889</v>
      </c>
      <c r="P23" s="108">
        <f t="shared" si="3"/>
        <v>7.6876214739846072E-2</v>
      </c>
      <c r="Q23" s="108">
        <f t="shared" si="3"/>
        <v>0.58913192663215064</v>
      </c>
      <c r="R23" s="108">
        <f t="shared" si="3"/>
        <v>0.58913192663215064</v>
      </c>
      <c r="S23" s="108">
        <f t="shared" si="3"/>
        <v>0.58913192663215064</v>
      </c>
      <c r="T23" s="56"/>
      <c r="U23" s="56"/>
      <c r="W23" s="53" t="s">
        <v>390</v>
      </c>
    </row>
    <row r="24" spans="2:23" x14ac:dyDescent="0.35">
      <c r="F24" s="105"/>
      <c r="G24" s="12"/>
      <c r="H24" s="3"/>
      <c r="I24" s="3"/>
      <c r="J24" s="107"/>
      <c r="K24" s="107"/>
      <c r="L24" s="107"/>
      <c r="M24" s="107"/>
      <c r="N24" s="107"/>
      <c r="O24" s="107"/>
      <c r="P24" s="107"/>
      <c r="Q24" s="107"/>
      <c r="R24" s="107"/>
      <c r="S24" s="107"/>
      <c r="T24" s="3"/>
      <c r="U24" s="3"/>
    </row>
    <row r="25" spans="2:23" x14ac:dyDescent="0.35">
      <c r="C25" s="26" t="str">
        <f ca="1">INDEX('Version control'!$H$38:$H$61,MATCH($A$1,'Version control'!$F$38:$F$61,0),1)&amp;"-B: Loss adjustment factors"</f>
        <v>Section 102-B: Loss adjustment factors</v>
      </c>
      <c r="D25" s="26"/>
      <c r="E25" s="26"/>
      <c r="F25" s="26"/>
      <c r="G25" s="26"/>
      <c r="H25" s="26"/>
      <c r="I25" s="26"/>
      <c r="J25" s="26"/>
      <c r="K25" s="26"/>
      <c r="L25" s="26"/>
      <c r="M25" s="26"/>
      <c r="N25" s="26"/>
      <c r="O25" s="26"/>
      <c r="P25" s="26"/>
      <c r="Q25" s="26"/>
      <c r="R25" s="26"/>
      <c r="S25" s="26"/>
      <c r="T25" s="26"/>
      <c r="U25" s="26"/>
      <c r="V25" s="26"/>
      <c r="W25" s="26"/>
    </row>
    <row r="26" spans="2:23" x14ac:dyDescent="0.35">
      <c r="H26" s="3"/>
      <c r="I26" s="3"/>
      <c r="J26" s="3"/>
      <c r="K26" s="3"/>
      <c r="L26" s="3"/>
      <c r="M26" s="3"/>
      <c r="N26" s="3"/>
      <c r="O26" s="3"/>
      <c r="P26" s="3"/>
      <c r="Q26" s="3"/>
      <c r="R26" s="3"/>
      <c r="S26" s="3"/>
      <c r="T26" s="3"/>
      <c r="U26" s="3"/>
      <c r="W26" s="3"/>
    </row>
    <row r="27" spans="2:23" x14ac:dyDescent="0.35">
      <c r="E27" t="s">
        <v>391</v>
      </c>
      <c r="F27" s="109"/>
      <c r="G27" s="62" t="s">
        <v>283</v>
      </c>
      <c r="H27" s="3"/>
      <c r="I27" s="3"/>
      <c r="J27" s="69"/>
      <c r="K27" s="110">
        <f>'Inputs by network level'!K19</f>
        <v>1</v>
      </c>
      <c r="L27" s="110">
        <f>'Inputs by network level'!L19</f>
        <v>1.004</v>
      </c>
      <c r="M27" s="110">
        <f>'Inputs by network level'!M19</f>
        <v>1.008</v>
      </c>
      <c r="N27" s="110">
        <f>'Inputs by network level'!N19</f>
        <v>1.0129999999999999</v>
      </c>
      <c r="O27" s="110">
        <f>'Inputs by network level'!O19</f>
        <v>1.018</v>
      </c>
      <c r="P27" s="69"/>
      <c r="Q27" s="110">
        <f>'Inputs by network level'!Q19</f>
        <v>1.0269999999999999</v>
      </c>
      <c r="R27" s="110">
        <f>'Inputs by network level'!R19</f>
        <v>1.0429999999999999</v>
      </c>
      <c r="S27" s="110">
        <f>'Inputs by network level'!S19</f>
        <v>1.0900000000000001</v>
      </c>
      <c r="T27" s="69"/>
      <c r="U27" s="69"/>
    </row>
    <row r="28" spans="2:23" x14ac:dyDescent="0.35">
      <c r="E28" t="s">
        <v>392</v>
      </c>
      <c r="F28" s="109"/>
      <c r="G28" s="62" t="s">
        <v>283</v>
      </c>
      <c r="H28" s="3"/>
      <c r="I28" s="3"/>
      <c r="J28" s="88">
        <f>K27</f>
        <v>1</v>
      </c>
      <c r="K28" s="69"/>
      <c r="L28" s="69"/>
      <c r="M28" s="69"/>
      <c r="N28" s="69"/>
      <c r="O28" s="69"/>
      <c r="P28" s="88">
        <f>O27</f>
        <v>1.018</v>
      </c>
      <c r="Q28" s="69"/>
      <c r="R28" s="69"/>
      <c r="S28" s="69"/>
      <c r="T28" s="69"/>
      <c r="U28" s="69"/>
    </row>
    <row r="29" spans="2:23" x14ac:dyDescent="0.35">
      <c r="E29" t="s">
        <v>393</v>
      </c>
      <c r="F29" s="109"/>
      <c r="G29" s="62" t="s">
        <v>283</v>
      </c>
      <c r="H29" s="3"/>
      <c r="I29" s="3" t="s">
        <v>154</v>
      </c>
      <c r="J29" s="111">
        <f t="shared" ref="J29:S29" si="4">J27 + J28</f>
        <v>1</v>
      </c>
      <c r="K29" s="111">
        <f t="shared" si="4"/>
        <v>1</v>
      </c>
      <c r="L29" s="111">
        <f t="shared" si="4"/>
        <v>1.004</v>
      </c>
      <c r="M29" s="111">
        <f t="shared" si="4"/>
        <v>1.008</v>
      </c>
      <c r="N29" s="111">
        <f t="shared" si="4"/>
        <v>1.0129999999999999</v>
      </c>
      <c r="O29" s="111">
        <f t="shared" si="4"/>
        <v>1.018</v>
      </c>
      <c r="P29" s="111">
        <f t="shared" si="4"/>
        <v>1.018</v>
      </c>
      <c r="Q29" s="111">
        <f t="shared" si="4"/>
        <v>1.0269999999999999</v>
      </c>
      <c r="R29" s="111">
        <f t="shared" si="4"/>
        <v>1.0429999999999999</v>
      </c>
      <c r="S29" s="111">
        <f t="shared" si="4"/>
        <v>1.0900000000000001</v>
      </c>
      <c r="T29" s="69"/>
      <c r="U29" s="69"/>
      <c r="W29" s="53" t="s">
        <v>284</v>
      </c>
    </row>
    <row r="30" spans="2:23" x14ac:dyDescent="0.35">
      <c r="F30" s="105"/>
      <c r="G30" s="12"/>
      <c r="H30" s="3"/>
      <c r="I30" s="3"/>
      <c r="J30" s="3"/>
      <c r="K30" s="3"/>
      <c r="L30" s="3"/>
      <c r="M30" s="3"/>
      <c r="N30" s="3"/>
      <c r="O30" s="3"/>
      <c r="Q30" s="3"/>
      <c r="R30" s="3"/>
      <c r="S30" s="3"/>
      <c r="T30" s="3"/>
      <c r="U30" s="3"/>
    </row>
    <row r="31" spans="2:23" x14ac:dyDescent="0.35">
      <c r="B31" s="25" t="s">
        <v>394</v>
      </c>
      <c r="C31" s="25"/>
      <c r="D31" s="25"/>
      <c r="E31" s="25"/>
      <c r="F31" s="25"/>
      <c r="G31" s="82"/>
      <c r="H31" s="25"/>
      <c r="I31" s="25"/>
      <c r="J31" s="25"/>
      <c r="K31" s="25"/>
      <c r="L31" s="25"/>
      <c r="M31" s="25"/>
      <c r="N31" s="25"/>
      <c r="O31" s="25"/>
      <c r="P31" s="25"/>
      <c r="Q31" s="25"/>
      <c r="R31" s="25"/>
      <c r="S31" s="25"/>
      <c r="T31" s="25"/>
      <c r="U31" s="25"/>
      <c r="V31" s="25"/>
      <c r="W31" s="25"/>
    </row>
    <row r="32" spans="2:23" x14ac:dyDescent="0.35">
      <c r="F32" s="105"/>
      <c r="G32" s="12"/>
      <c r="H32" s="3"/>
      <c r="I32" s="3"/>
      <c r="J32" s="3"/>
      <c r="K32" s="3"/>
      <c r="L32" s="3"/>
      <c r="M32" s="3"/>
      <c r="N32" s="3"/>
      <c r="O32" s="3"/>
      <c r="Q32" s="3"/>
      <c r="R32" s="3"/>
      <c r="S32" s="3"/>
      <c r="T32" s="3"/>
      <c r="U32" s="3"/>
    </row>
    <row r="33" spans="3:23" x14ac:dyDescent="0.35">
      <c r="C33" s="24" t="s">
        <v>395</v>
      </c>
      <c r="F33" s="105"/>
      <c r="G33" s="12"/>
      <c r="H33" s="3"/>
      <c r="I33" s="3"/>
      <c r="J33" s="3"/>
      <c r="K33" s="3"/>
      <c r="L33" s="3"/>
      <c r="M33" s="3"/>
      <c r="N33" s="3"/>
      <c r="O33" s="3"/>
      <c r="Q33" s="3"/>
      <c r="R33" s="3"/>
      <c r="S33" s="3"/>
      <c r="T33" s="3"/>
      <c r="U33" s="3"/>
    </row>
    <row r="34" spans="3:23" x14ac:dyDescent="0.35">
      <c r="F34" s="105"/>
      <c r="G34" s="12"/>
      <c r="H34" s="3"/>
      <c r="I34" s="3"/>
      <c r="J34" s="3"/>
      <c r="K34" s="3"/>
      <c r="L34" s="3"/>
      <c r="M34" s="3"/>
      <c r="N34" s="3"/>
      <c r="O34" s="3"/>
      <c r="Q34" s="3"/>
      <c r="R34" s="3"/>
      <c r="S34" s="3"/>
      <c r="T34" s="3"/>
      <c r="U34" s="3"/>
    </row>
    <row r="35" spans="3:23" x14ac:dyDescent="0.35">
      <c r="C35" s="26" t="str">
        <f ca="1">INDEX('Version control'!$H$38:$H$61,MATCH($A$1,'Version control'!$F$38:$F$61,0),1)&amp;"-C: Proportion of relevant load going through 132kV/HV direct transformation"</f>
        <v>Section 102-C: Proportion of relevant load going through 132kV/HV direct transformation</v>
      </c>
      <c r="D35" s="26"/>
      <c r="E35" s="26"/>
      <c r="F35" s="26"/>
      <c r="G35" s="26"/>
      <c r="H35" s="26"/>
      <c r="I35" s="26"/>
      <c r="J35" s="26"/>
      <c r="K35" s="26"/>
      <c r="L35" s="26"/>
      <c r="M35" s="26"/>
      <c r="N35" s="26"/>
      <c r="O35" s="26"/>
      <c r="P35" s="26"/>
      <c r="Q35" s="26"/>
      <c r="R35" s="26"/>
      <c r="S35" s="26"/>
      <c r="T35" s="26"/>
      <c r="U35" s="26"/>
      <c r="V35" s="26"/>
      <c r="W35" s="26"/>
    </row>
    <row r="36" spans="3:23" x14ac:dyDescent="0.35">
      <c r="H36" s="3"/>
      <c r="I36" s="3"/>
      <c r="J36" s="3"/>
      <c r="K36" s="3"/>
      <c r="L36" s="3"/>
      <c r="M36" s="3"/>
      <c r="N36" s="3"/>
      <c r="O36" s="3"/>
      <c r="P36" s="3"/>
      <c r="Q36" s="3"/>
      <c r="R36" s="3"/>
      <c r="S36" s="3"/>
      <c r="T36" s="3"/>
      <c r="U36" s="3"/>
      <c r="W36" s="3"/>
    </row>
    <row r="37" spans="3:23" x14ac:dyDescent="0.35">
      <c r="E37" t="s">
        <v>196</v>
      </c>
      <c r="F37" s="23"/>
      <c r="G37" s="62" t="s">
        <v>167</v>
      </c>
      <c r="H37" s="106">
        <f>'Inputs by network level'!P17</f>
        <v>0</v>
      </c>
      <c r="I37" s="3"/>
    </row>
    <row r="38" spans="3:23" x14ac:dyDescent="0.35">
      <c r="E38" t="s">
        <v>396</v>
      </c>
      <c r="F38" s="105"/>
      <c r="G38" s="12" t="s">
        <v>167</v>
      </c>
      <c r="H38" s="3"/>
      <c r="I38" s="3"/>
      <c r="J38" s="56"/>
      <c r="K38" s="56"/>
      <c r="L38" s="56"/>
      <c r="M38" s="112">
        <f>1 - $H$37</f>
        <v>1</v>
      </c>
      <c r="N38" s="112">
        <f>1 - $H$37</f>
        <v>1</v>
      </c>
      <c r="O38" s="112">
        <f>1 - $H$37</f>
        <v>1</v>
      </c>
      <c r="P38" s="113">
        <f>H37</f>
        <v>0</v>
      </c>
      <c r="Q38" s="56"/>
      <c r="R38" s="56"/>
      <c r="S38" s="56"/>
      <c r="T38" s="56"/>
      <c r="U38" s="56"/>
    </row>
    <row r="39" spans="3:23" x14ac:dyDescent="0.35">
      <c r="F39" s="105"/>
      <c r="G39" s="12"/>
      <c r="H39" s="3"/>
      <c r="I39" s="3"/>
      <c r="J39" s="3"/>
      <c r="K39" s="3"/>
      <c r="L39" s="3"/>
      <c r="M39" s="3"/>
      <c r="N39" s="3"/>
      <c r="O39" s="3"/>
      <c r="Q39" s="3"/>
      <c r="R39" s="3"/>
      <c r="S39" s="3"/>
      <c r="T39" s="3"/>
      <c r="U39" s="3"/>
    </row>
    <row r="40" spans="3:23" x14ac:dyDescent="0.35">
      <c r="C40" s="26" t="str">
        <f ca="1">INDEX('Version control'!$H$38:$H$61,MATCH($A$1,'Version control'!$F$38:$F$61,0),1)&amp;"-D: Network use factors"</f>
        <v>Section 102-D: Network use factors</v>
      </c>
      <c r="D40" s="26"/>
      <c r="E40" s="26"/>
      <c r="F40" s="26"/>
      <c r="G40" s="26"/>
      <c r="H40" s="26"/>
      <c r="I40" s="26"/>
      <c r="J40" s="26"/>
      <c r="K40" s="26"/>
      <c r="L40" s="26"/>
      <c r="M40" s="26"/>
      <c r="N40" s="26"/>
      <c r="O40" s="26"/>
      <c r="P40" s="26"/>
      <c r="Q40" s="26"/>
      <c r="R40" s="26"/>
      <c r="S40" s="26"/>
      <c r="T40" s="26"/>
      <c r="U40" s="26"/>
      <c r="V40" s="26"/>
      <c r="W40" s="26"/>
    </row>
    <row r="41" spans="3:23" x14ac:dyDescent="0.35">
      <c r="H41" s="3"/>
      <c r="I41" s="3"/>
      <c r="J41" s="3"/>
      <c r="K41" s="3"/>
      <c r="L41" s="3"/>
      <c r="M41" s="3"/>
      <c r="N41" s="3"/>
      <c r="O41" s="3"/>
      <c r="P41" s="3"/>
      <c r="Q41" s="3"/>
      <c r="R41" s="3"/>
      <c r="S41" s="3"/>
      <c r="T41" s="3"/>
      <c r="U41" s="3"/>
      <c r="W41" s="3"/>
    </row>
    <row r="42" spans="3:23" x14ac:dyDescent="0.35">
      <c r="D42" s="24" t="s">
        <v>397</v>
      </c>
      <c r="H42" s="3"/>
      <c r="I42" s="3"/>
      <c r="J42" s="3"/>
      <c r="K42" s="3"/>
      <c r="L42" s="3"/>
      <c r="M42" s="3"/>
      <c r="N42" s="3"/>
      <c r="O42" s="3"/>
      <c r="P42" s="3"/>
      <c r="Q42" s="3"/>
      <c r="R42" s="3"/>
      <c r="S42" s="3"/>
      <c r="T42" s="3"/>
      <c r="U42" s="3"/>
      <c r="W42" s="3"/>
    </row>
    <row r="43" spans="3:23" x14ac:dyDescent="0.35">
      <c r="D43" s="24"/>
      <c r="H43" s="3"/>
      <c r="I43" s="3"/>
      <c r="J43" s="3"/>
      <c r="K43" s="3"/>
      <c r="L43" s="3"/>
      <c r="M43" s="3"/>
      <c r="N43" s="3"/>
      <c r="O43" s="3"/>
      <c r="P43" s="3"/>
      <c r="Q43" s="3"/>
      <c r="R43" s="3"/>
      <c r="S43" s="3"/>
      <c r="T43" s="3"/>
      <c r="U43" s="3"/>
      <c r="W43" s="3"/>
    </row>
    <row r="44" spans="3:23" x14ac:dyDescent="0.35">
      <c r="E44" s="27" t="s">
        <v>187</v>
      </c>
      <c r="G44" s="12"/>
    </row>
    <row r="45" spans="3:23" x14ac:dyDescent="0.35">
      <c r="E45" s="24" t="s">
        <v>398</v>
      </c>
      <c r="G45" s="12"/>
    </row>
    <row r="46" spans="3:23" x14ac:dyDescent="0.35">
      <c r="F46" s="19" t="s">
        <v>827</v>
      </c>
      <c r="G46" s="68" t="s">
        <v>190</v>
      </c>
      <c r="H46" s="19"/>
      <c r="I46" s="19"/>
      <c r="J46" s="114">
        <f t="array" ref="J46:S61">TRANSPOSE('Fixed inputs'!J60:Y69)</f>
        <v>1</v>
      </c>
      <c r="K46" s="114">
        <v>1</v>
      </c>
      <c r="L46" s="114">
        <v>1</v>
      </c>
      <c r="M46" s="114">
        <v>1</v>
      </c>
      <c r="N46" s="114">
        <v>1</v>
      </c>
      <c r="O46" s="114">
        <v>1</v>
      </c>
      <c r="P46" s="114">
        <v>1</v>
      </c>
      <c r="Q46" s="114">
        <v>1</v>
      </c>
      <c r="R46" s="114">
        <v>1</v>
      </c>
      <c r="S46" s="114">
        <v>1</v>
      </c>
      <c r="T46" s="73"/>
      <c r="U46" s="73"/>
      <c r="W46" s="3"/>
    </row>
    <row r="47" spans="3:23" x14ac:dyDescent="0.35">
      <c r="F47" t="s">
        <v>829</v>
      </c>
      <c r="G47" s="62" t="s">
        <v>190</v>
      </c>
      <c r="J47" s="110">
        <v>1</v>
      </c>
      <c r="K47" s="110">
        <v>1</v>
      </c>
      <c r="L47" s="110">
        <v>1</v>
      </c>
      <c r="M47" s="110">
        <v>1</v>
      </c>
      <c r="N47" s="110">
        <v>1</v>
      </c>
      <c r="O47" s="110">
        <v>1</v>
      </c>
      <c r="P47" s="110">
        <v>1</v>
      </c>
      <c r="Q47" s="110">
        <v>1</v>
      </c>
      <c r="R47" s="110">
        <v>1</v>
      </c>
      <c r="S47" s="110">
        <v>1</v>
      </c>
      <c r="T47" s="69"/>
      <c r="U47" s="69"/>
    </row>
    <row r="48" spans="3:23" x14ac:dyDescent="0.35">
      <c r="F48" t="s">
        <v>828</v>
      </c>
      <c r="G48" s="62" t="s">
        <v>190</v>
      </c>
      <c r="J48" s="110">
        <v>1</v>
      </c>
      <c r="K48" s="110">
        <v>1</v>
      </c>
      <c r="L48" s="110">
        <v>1</v>
      </c>
      <c r="M48" s="110">
        <v>1</v>
      </c>
      <c r="N48" s="110">
        <v>1</v>
      </c>
      <c r="O48" s="110">
        <v>1</v>
      </c>
      <c r="P48" s="110">
        <v>1</v>
      </c>
      <c r="Q48" s="110">
        <v>1</v>
      </c>
      <c r="R48" s="110">
        <v>1</v>
      </c>
      <c r="S48" s="110">
        <v>1</v>
      </c>
      <c r="T48" s="69"/>
      <c r="U48" s="69"/>
    </row>
    <row r="49" spans="5:21" x14ac:dyDescent="0.35">
      <c r="F49" t="s">
        <v>830</v>
      </c>
      <c r="G49" s="62" t="s">
        <v>190</v>
      </c>
      <c r="J49" s="110">
        <v>1</v>
      </c>
      <c r="K49" s="110">
        <v>1</v>
      </c>
      <c r="L49" s="110">
        <v>1</v>
      </c>
      <c r="M49" s="110">
        <v>1</v>
      </c>
      <c r="N49" s="110">
        <v>1</v>
      </c>
      <c r="O49" s="110">
        <v>1</v>
      </c>
      <c r="P49" s="110">
        <v>1</v>
      </c>
      <c r="Q49" s="110">
        <v>1</v>
      </c>
      <c r="R49" s="110">
        <v>1</v>
      </c>
      <c r="S49" s="110">
        <v>1</v>
      </c>
      <c r="T49" s="69"/>
      <c r="U49" s="69"/>
    </row>
    <row r="50" spans="5:21" x14ac:dyDescent="0.35">
      <c r="F50" t="s">
        <v>836</v>
      </c>
      <c r="G50" s="62" t="s">
        <v>190</v>
      </c>
      <c r="J50" s="110">
        <v>1</v>
      </c>
      <c r="K50" s="110">
        <v>1</v>
      </c>
      <c r="L50" s="110">
        <v>1</v>
      </c>
      <c r="M50" s="110">
        <v>1</v>
      </c>
      <c r="N50" s="110">
        <v>1</v>
      </c>
      <c r="O50" s="110">
        <v>1</v>
      </c>
      <c r="P50" s="110">
        <v>1</v>
      </c>
      <c r="Q50" s="110">
        <v>1</v>
      </c>
      <c r="R50" s="110">
        <v>1</v>
      </c>
      <c r="S50" s="110">
        <v>1</v>
      </c>
      <c r="T50" s="69"/>
      <c r="U50" s="69"/>
    </row>
    <row r="51" spans="5:21" x14ac:dyDescent="0.35">
      <c r="F51" t="s">
        <v>837</v>
      </c>
      <c r="G51" s="62" t="s">
        <v>190</v>
      </c>
      <c r="J51" s="110">
        <v>1</v>
      </c>
      <c r="K51" s="110">
        <v>1</v>
      </c>
      <c r="L51" s="110">
        <v>1</v>
      </c>
      <c r="M51" s="110">
        <v>1</v>
      </c>
      <c r="N51" s="110">
        <v>1</v>
      </c>
      <c r="O51" s="110">
        <v>1</v>
      </c>
      <c r="P51" s="110">
        <v>1</v>
      </c>
      <c r="Q51" s="110">
        <v>1</v>
      </c>
      <c r="R51" s="110">
        <v>1</v>
      </c>
      <c r="S51" s="110">
        <v>0</v>
      </c>
      <c r="T51" s="69"/>
      <c r="U51" s="69"/>
    </row>
    <row r="52" spans="5:21" x14ac:dyDescent="0.35">
      <c r="F52" t="s">
        <v>838</v>
      </c>
      <c r="G52" s="62" t="s">
        <v>190</v>
      </c>
      <c r="J52" s="110">
        <v>1</v>
      </c>
      <c r="K52" s="110">
        <v>1</v>
      </c>
      <c r="L52" s="110">
        <v>1</v>
      </c>
      <c r="M52" s="110">
        <v>1</v>
      </c>
      <c r="N52" s="110">
        <v>1</v>
      </c>
      <c r="O52" s="110">
        <v>1</v>
      </c>
      <c r="P52" s="110">
        <v>1</v>
      </c>
      <c r="Q52" s="110">
        <v>1</v>
      </c>
      <c r="R52" s="110">
        <v>0</v>
      </c>
      <c r="S52" s="110">
        <v>0</v>
      </c>
      <c r="T52" s="69"/>
      <c r="U52" s="69"/>
    </row>
    <row r="53" spans="5:21" x14ac:dyDescent="0.35">
      <c r="F53" t="s">
        <v>839</v>
      </c>
      <c r="G53" s="62" t="s">
        <v>190</v>
      </c>
      <c r="J53" s="110">
        <v>1</v>
      </c>
      <c r="K53" s="110">
        <v>1</v>
      </c>
      <c r="L53" s="110">
        <v>1</v>
      </c>
      <c r="M53" s="110">
        <v>1</v>
      </c>
      <c r="N53" s="110">
        <v>1</v>
      </c>
      <c r="O53" s="110">
        <v>1</v>
      </c>
      <c r="P53" s="110">
        <v>1</v>
      </c>
      <c r="Q53" s="110">
        <v>1</v>
      </c>
      <c r="R53" s="110">
        <v>1</v>
      </c>
      <c r="S53" s="110">
        <v>1</v>
      </c>
      <c r="T53" s="69"/>
      <c r="U53" s="69"/>
    </row>
    <row r="54" spans="5:21" x14ac:dyDescent="0.35">
      <c r="F54" t="s">
        <v>831</v>
      </c>
      <c r="G54" s="62" t="s">
        <v>190</v>
      </c>
      <c r="J54" s="110">
        <v>-1</v>
      </c>
      <c r="K54" s="110">
        <v>-1</v>
      </c>
      <c r="L54" s="110">
        <v>-1</v>
      </c>
      <c r="M54" s="110">
        <v>-1</v>
      </c>
      <c r="N54" s="110">
        <v>-1</v>
      </c>
      <c r="O54" s="110">
        <v>-1</v>
      </c>
      <c r="P54" s="110">
        <v>-1</v>
      </c>
      <c r="Q54" s="110">
        <v>-1</v>
      </c>
      <c r="R54" s="110">
        <v>-1</v>
      </c>
      <c r="S54" s="110">
        <v>-1</v>
      </c>
      <c r="T54" s="69"/>
      <c r="U54" s="69"/>
    </row>
    <row r="55" spans="5:21" x14ac:dyDescent="0.35">
      <c r="F55" t="s">
        <v>832</v>
      </c>
      <c r="G55" s="62" t="s">
        <v>190</v>
      </c>
      <c r="J55" s="110">
        <v>-1</v>
      </c>
      <c r="K55" s="110">
        <v>-1</v>
      </c>
      <c r="L55" s="110">
        <v>-1</v>
      </c>
      <c r="M55" s="110">
        <v>-1</v>
      </c>
      <c r="N55" s="110">
        <v>-1</v>
      </c>
      <c r="O55" s="110">
        <v>-1</v>
      </c>
      <c r="P55" s="110">
        <v>-1</v>
      </c>
      <c r="Q55" s="110">
        <v>-1</v>
      </c>
      <c r="R55" s="110">
        <v>-1</v>
      </c>
      <c r="S55" s="110">
        <v>0</v>
      </c>
      <c r="T55" s="69"/>
      <c r="U55" s="69"/>
    </row>
    <row r="56" spans="5:21" x14ac:dyDescent="0.35">
      <c r="F56" t="s">
        <v>833</v>
      </c>
      <c r="G56" s="62" t="s">
        <v>190</v>
      </c>
      <c r="J56" s="110">
        <v>-1</v>
      </c>
      <c r="K56" s="110">
        <v>-1</v>
      </c>
      <c r="L56" s="110">
        <v>-1</v>
      </c>
      <c r="M56" s="110">
        <v>-1</v>
      </c>
      <c r="N56" s="110">
        <v>-1</v>
      </c>
      <c r="O56" s="110">
        <v>-1</v>
      </c>
      <c r="P56" s="110">
        <v>-1</v>
      </c>
      <c r="Q56" s="110">
        <v>-1</v>
      </c>
      <c r="R56" s="110">
        <v>-1</v>
      </c>
      <c r="S56" s="110">
        <v>-1</v>
      </c>
      <c r="T56" s="69"/>
      <c r="U56" s="69"/>
    </row>
    <row r="57" spans="5:21" x14ac:dyDescent="0.35">
      <c r="F57" t="s">
        <v>842</v>
      </c>
      <c r="G57" s="62" t="s">
        <v>190</v>
      </c>
      <c r="J57" s="110">
        <v>-1</v>
      </c>
      <c r="K57" s="110">
        <v>-1</v>
      </c>
      <c r="L57" s="110">
        <v>-1</v>
      </c>
      <c r="M57" s="110">
        <v>-1</v>
      </c>
      <c r="N57" s="110">
        <v>-1</v>
      </c>
      <c r="O57" s="110">
        <v>-1</v>
      </c>
      <c r="P57" s="110">
        <v>-1</v>
      </c>
      <c r="Q57" s="110">
        <v>-1</v>
      </c>
      <c r="R57" s="110">
        <v>-1</v>
      </c>
      <c r="S57" s="110">
        <v>-1</v>
      </c>
      <c r="T57" s="69"/>
      <c r="U57" s="69"/>
    </row>
    <row r="58" spans="5:21" x14ac:dyDescent="0.35">
      <c r="F58" t="s">
        <v>834</v>
      </c>
      <c r="G58" s="62" t="s">
        <v>190</v>
      </c>
      <c r="J58" s="110">
        <v>-1</v>
      </c>
      <c r="K58" s="110">
        <v>-1</v>
      </c>
      <c r="L58" s="110">
        <v>-1</v>
      </c>
      <c r="M58" s="110">
        <v>-1</v>
      </c>
      <c r="N58" s="110">
        <v>-1</v>
      </c>
      <c r="O58" s="110">
        <v>-1</v>
      </c>
      <c r="P58" s="110">
        <v>-1</v>
      </c>
      <c r="Q58" s="110">
        <v>-1</v>
      </c>
      <c r="R58" s="110">
        <v>-1</v>
      </c>
      <c r="S58" s="110">
        <v>0</v>
      </c>
      <c r="T58" s="69"/>
      <c r="U58" s="69"/>
    </row>
    <row r="59" spans="5:21" x14ac:dyDescent="0.35">
      <c r="F59" t="s">
        <v>841</v>
      </c>
      <c r="G59" s="62" t="s">
        <v>190</v>
      </c>
      <c r="J59" s="110">
        <v>-1</v>
      </c>
      <c r="K59" s="110">
        <v>-1</v>
      </c>
      <c r="L59" s="110">
        <v>-1</v>
      </c>
      <c r="M59" s="110">
        <v>-1</v>
      </c>
      <c r="N59" s="110">
        <v>-1</v>
      </c>
      <c r="O59" s="110">
        <v>-1</v>
      </c>
      <c r="P59" s="110">
        <v>-1</v>
      </c>
      <c r="Q59" s="110">
        <v>-1</v>
      </c>
      <c r="R59" s="110">
        <v>-1</v>
      </c>
      <c r="S59" s="110">
        <v>0</v>
      </c>
      <c r="T59" s="69"/>
      <c r="U59" s="69"/>
    </row>
    <row r="60" spans="5:21" x14ac:dyDescent="0.35">
      <c r="F60" t="s">
        <v>835</v>
      </c>
      <c r="G60" s="62" t="s">
        <v>190</v>
      </c>
      <c r="J60" s="110">
        <v>-1</v>
      </c>
      <c r="K60" s="110">
        <v>-1</v>
      </c>
      <c r="L60" s="110">
        <v>-1</v>
      </c>
      <c r="M60" s="110">
        <v>-1</v>
      </c>
      <c r="N60" s="110">
        <v>-1</v>
      </c>
      <c r="O60" s="110">
        <v>-1</v>
      </c>
      <c r="P60" s="110">
        <v>-1</v>
      </c>
      <c r="Q60" s="110">
        <v>-1</v>
      </c>
      <c r="R60" s="110">
        <v>0</v>
      </c>
      <c r="S60" s="110">
        <v>0</v>
      </c>
      <c r="T60" s="69"/>
      <c r="U60" s="69"/>
    </row>
    <row r="61" spans="5:21" x14ac:dyDescent="0.35">
      <c r="F61" s="28" t="s">
        <v>840</v>
      </c>
      <c r="G61" s="70" t="s">
        <v>190</v>
      </c>
      <c r="H61" s="28"/>
      <c r="I61" s="28"/>
      <c r="J61" s="115">
        <v>-1</v>
      </c>
      <c r="K61" s="115">
        <v>-1</v>
      </c>
      <c r="L61" s="115">
        <v>-1</v>
      </c>
      <c r="M61" s="115">
        <v>-1</v>
      </c>
      <c r="N61" s="115">
        <v>-1</v>
      </c>
      <c r="O61" s="115">
        <v>-1</v>
      </c>
      <c r="P61" s="115">
        <v>-1</v>
      </c>
      <c r="Q61" s="115">
        <v>-1</v>
      </c>
      <c r="R61" s="115">
        <v>0</v>
      </c>
      <c r="S61" s="115">
        <v>0</v>
      </c>
      <c r="T61" s="71"/>
      <c r="U61" s="71"/>
    </row>
    <row r="62" spans="5:21" x14ac:dyDescent="0.35">
      <c r="G62" s="12"/>
      <c r="J62" s="79"/>
      <c r="K62" s="79"/>
      <c r="L62" s="79"/>
      <c r="M62" s="79"/>
      <c r="N62" s="79"/>
      <c r="O62" s="79"/>
      <c r="P62" s="79"/>
      <c r="Q62" s="79"/>
      <c r="R62" s="79"/>
      <c r="S62" s="79"/>
      <c r="T62" s="79"/>
      <c r="U62" s="79"/>
    </row>
    <row r="63" spans="5:21" x14ac:dyDescent="0.35">
      <c r="E63" s="27" t="s">
        <v>399</v>
      </c>
      <c r="G63" s="12"/>
      <c r="J63" s="79"/>
      <c r="K63" s="79"/>
      <c r="L63" s="79"/>
      <c r="M63" s="79"/>
      <c r="N63" s="79"/>
      <c r="O63" s="79"/>
      <c r="P63" s="79"/>
      <c r="Q63" s="79"/>
      <c r="R63" s="79"/>
      <c r="S63" s="79"/>
      <c r="T63" s="79"/>
      <c r="U63" s="79"/>
    </row>
    <row r="64" spans="5:21" x14ac:dyDescent="0.35">
      <c r="E64" s="24" t="s">
        <v>400</v>
      </c>
      <c r="G64" s="12"/>
      <c r="J64" s="79"/>
      <c r="K64" s="79"/>
      <c r="L64" s="79"/>
      <c r="M64" s="79"/>
      <c r="N64" s="79"/>
      <c r="O64" s="79"/>
      <c r="P64" s="79"/>
      <c r="Q64" s="79"/>
      <c r="R64" s="79"/>
      <c r="S64" s="79"/>
      <c r="T64" s="79"/>
      <c r="U64" s="79"/>
    </row>
    <row r="65" spans="6:23" x14ac:dyDescent="0.35">
      <c r="F65" s="19" t="s">
        <v>827</v>
      </c>
      <c r="G65" s="68" t="s">
        <v>190</v>
      </c>
      <c r="H65" s="19"/>
      <c r="I65" s="19"/>
      <c r="J65" s="116">
        <f t="shared" ref="J65:S65" si="5">IF(J$38 = "", J46, J46 * J$38)</f>
        <v>1</v>
      </c>
      <c r="K65" s="116">
        <f t="shared" si="5"/>
        <v>1</v>
      </c>
      <c r="L65" s="116">
        <f t="shared" si="5"/>
        <v>1</v>
      </c>
      <c r="M65" s="116">
        <f t="shared" si="5"/>
        <v>1</v>
      </c>
      <c r="N65" s="116">
        <f t="shared" si="5"/>
        <v>1</v>
      </c>
      <c r="O65" s="116">
        <f t="shared" si="5"/>
        <v>1</v>
      </c>
      <c r="P65" s="116">
        <f t="shared" si="5"/>
        <v>0</v>
      </c>
      <c r="Q65" s="116">
        <f t="shared" si="5"/>
        <v>1</v>
      </c>
      <c r="R65" s="116">
        <f t="shared" si="5"/>
        <v>1</v>
      </c>
      <c r="S65" s="116">
        <f t="shared" si="5"/>
        <v>1</v>
      </c>
      <c r="T65" s="73"/>
      <c r="U65" s="73"/>
      <c r="W65" s="3"/>
    </row>
    <row r="66" spans="6:23" x14ac:dyDescent="0.35">
      <c r="F66" t="s">
        <v>829</v>
      </c>
      <c r="G66" s="62" t="s">
        <v>190</v>
      </c>
      <c r="J66" s="88">
        <f t="shared" ref="J66:S66" si="6">IF(J$38 = "", J47, J47 * J$38)</f>
        <v>1</v>
      </c>
      <c r="K66" s="88">
        <f t="shared" si="6"/>
        <v>1</v>
      </c>
      <c r="L66" s="88">
        <f t="shared" si="6"/>
        <v>1</v>
      </c>
      <c r="M66" s="88">
        <f t="shared" si="6"/>
        <v>1</v>
      </c>
      <c r="N66" s="88">
        <f t="shared" si="6"/>
        <v>1</v>
      </c>
      <c r="O66" s="88">
        <f t="shared" si="6"/>
        <v>1</v>
      </c>
      <c r="P66" s="88">
        <f t="shared" si="6"/>
        <v>0</v>
      </c>
      <c r="Q66" s="88">
        <f t="shared" si="6"/>
        <v>1</v>
      </c>
      <c r="R66" s="88">
        <f t="shared" si="6"/>
        <v>1</v>
      </c>
      <c r="S66" s="88">
        <f t="shared" si="6"/>
        <v>1</v>
      </c>
      <c r="T66" s="69"/>
      <c r="U66" s="69"/>
    </row>
    <row r="67" spans="6:23" x14ac:dyDescent="0.35">
      <c r="F67" t="s">
        <v>828</v>
      </c>
      <c r="G67" s="62" t="s">
        <v>190</v>
      </c>
      <c r="J67" s="88">
        <f t="shared" ref="J67:S67" si="7">IF(J$38 = "", J48, J48 * J$38)</f>
        <v>1</v>
      </c>
      <c r="K67" s="88">
        <f t="shared" si="7"/>
        <v>1</v>
      </c>
      <c r="L67" s="88">
        <f t="shared" si="7"/>
        <v>1</v>
      </c>
      <c r="M67" s="88">
        <f t="shared" si="7"/>
        <v>1</v>
      </c>
      <c r="N67" s="88">
        <f t="shared" si="7"/>
        <v>1</v>
      </c>
      <c r="O67" s="88">
        <f t="shared" si="7"/>
        <v>1</v>
      </c>
      <c r="P67" s="88">
        <f t="shared" si="7"/>
        <v>0</v>
      </c>
      <c r="Q67" s="88">
        <f t="shared" si="7"/>
        <v>1</v>
      </c>
      <c r="R67" s="88">
        <f t="shared" si="7"/>
        <v>1</v>
      </c>
      <c r="S67" s="88">
        <f t="shared" si="7"/>
        <v>1</v>
      </c>
      <c r="T67" s="69"/>
      <c r="U67" s="69"/>
    </row>
    <row r="68" spans="6:23" x14ac:dyDescent="0.35">
      <c r="F68" t="s">
        <v>830</v>
      </c>
      <c r="G68" s="62" t="s">
        <v>190</v>
      </c>
      <c r="J68" s="88">
        <f t="shared" ref="J68:S68" si="8">IF(J$38 = "", J49, J49 * J$38)</f>
        <v>1</v>
      </c>
      <c r="K68" s="88">
        <f t="shared" si="8"/>
        <v>1</v>
      </c>
      <c r="L68" s="88">
        <f t="shared" si="8"/>
        <v>1</v>
      </c>
      <c r="M68" s="88">
        <f t="shared" si="8"/>
        <v>1</v>
      </c>
      <c r="N68" s="88">
        <f t="shared" si="8"/>
        <v>1</v>
      </c>
      <c r="O68" s="88">
        <f t="shared" si="8"/>
        <v>1</v>
      </c>
      <c r="P68" s="88">
        <f t="shared" si="8"/>
        <v>0</v>
      </c>
      <c r="Q68" s="88">
        <f t="shared" si="8"/>
        <v>1</v>
      </c>
      <c r="R68" s="88">
        <f t="shared" si="8"/>
        <v>1</v>
      </c>
      <c r="S68" s="88">
        <f t="shared" si="8"/>
        <v>1</v>
      </c>
      <c r="T68" s="69"/>
      <c r="U68" s="69"/>
    </row>
    <row r="69" spans="6:23" x14ac:dyDescent="0.35">
      <c r="F69" t="s">
        <v>836</v>
      </c>
      <c r="G69" s="62" t="s">
        <v>190</v>
      </c>
      <c r="J69" s="88">
        <f t="shared" ref="J69:S69" si="9">IF(J$38 = "", J50, J50 * J$38)</f>
        <v>1</v>
      </c>
      <c r="K69" s="88">
        <f t="shared" si="9"/>
        <v>1</v>
      </c>
      <c r="L69" s="88">
        <f t="shared" si="9"/>
        <v>1</v>
      </c>
      <c r="M69" s="88">
        <f t="shared" si="9"/>
        <v>1</v>
      </c>
      <c r="N69" s="88">
        <f t="shared" si="9"/>
        <v>1</v>
      </c>
      <c r="O69" s="88">
        <f t="shared" si="9"/>
        <v>1</v>
      </c>
      <c r="P69" s="88">
        <f t="shared" si="9"/>
        <v>0</v>
      </c>
      <c r="Q69" s="88">
        <f t="shared" si="9"/>
        <v>1</v>
      </c>
      <c r="R69" s="88">
        <f t="shared" si="9"/>
        <v>1</v>
      </c>
      <c r="S69" s="88">
        <f t="shared" si="9"/>
        <v>1</v>
      </c>
      <c r="T69" s="69"/>
      <c r="U69" s="69"/>
    </row>
    <row r="70" spans="6:23" x14ac:dyDescent="0.35">
      <c r="F70" t="s">
        <v>837</v>
      </c>
      <c r="G70" s="62" t="s">
        <v>190</v>
      </c>
      <c r="J70" s="88">
        <f t="shared" ref="J70:S70" si="10">IF(J$38 = "", J51, J51 * J$38)</f>
        <v>1</v>
      </c>
      <c r="K70" s="88">
        <f t="shared" si="10"/>
        <v>1</v>
      </c>
      <c r="L70" s="88">
        <f t="shared" si="10"/>
        <v>1</v>
      </c>
      <c r="M70" s="88">
        <f t="shared" si="10"/>
        <v>1</v>
      </c>
      <c r="N70" s="88">
        <f t="shared" si="10"/>
        <v>1</v>
      </c>
      <c r="O70" s="88">
        <f t="shared" si="10"/>
        <v>1</v>
      </c>
      <c r="P70" s="88">
        <f t="shared" si="10"/>
        <v>0</v>
      </c>
      <c r="Q70" s="88">
        <f t="shared" si="10"/>
        <v>1</v>
      </c>
      <c r="R70" s="88">
        <f t="shared" si="10"/>
        <v>1</v>
      </c>
      <c r="S70" s="88">
        <f t="shared" si="10"/>
        <v>0</v>
      </c>
      <c r="T70" s="69"/>
      <c r="U70" s="69"/>
    </row>
    <row r="71" spans="6:23" x14ac:dyDescent="0.35">
      <c r="F71" t="s">
        <v>838</v>
      </c>
      <c r="G71" s="62" t="s">
        <v>190</v>
      </c>
      <c r="J71" s="88">
        <f t="shared" ref="J71:S71" si="11">IF(J$38 = "", J52, J52 * J$38)</f>
        <v>1</v>
      </c>
      <c r="K71" s="88">
        <f t="shared" si="11"/>
        <v>1</v>
      </c>
      <c r="L71" s="88">
        <f t="shared" si="11"/>
        <v>1</v>
      </c>
      <c r="M71" s="88">
        <f t="shared" si="11"/>
        <v>1</v>
      </c>
      <c r="N71" s="88">
        <f t="shared" si="11"/>
        <v>1</v>
      </c>
      <c r="O71" s="88">
        <f t="shared" si="11"/>
        <v>1</v>
      </c>
      <c r="P71" s="88">
        <f t="shared" si="11"/>
        <v>0</v>
      </c>
      <c r="Q71" s="88">
        <f t="shared" si="11"/>
        <v>1</v>
      </c>
      <c r="R71" s="88">
        <f t="shared" si="11"/>
        <v>0</v>
      </c>
      <c r="S71" s="88">
        <f t="shared" si="11"/>
        <v>0</v>
      </c>
      <c r="T71" s="69"/>
      <c r="U71" s="69"/>
    </row>
    <row r="72" spans="6:23" x14ac:dyDescent="0.35">
      <c r="F72" t="s">
        <v>839</v>
      </c>
      <c r="G72" s="62" t="s">
        <v>190</v>
      </c>
      <c r="J72" s="88">
        <f t="shared" ref="J72:S72" si="12">IF(J$38 = "", J53, J53 * J$38)</f>
        <v>1</v>
      </c>
      <c r="K72" s="88">
        <f t="shared" si="12"/>
        <v>1</v>
      </c>
      <c r="L72" s="88">
        <f t="shared" si="12"/>
        <v>1</v>
      </c>
      <c r="M72" s="88">
        <f t="shared" si="12"/>
        <v>1</v>
      </c>
      <c r="N72" s="88">
        <f t="shared" si="12"/>
        <v>1</v>
      </c>
      <c r="O72" s="88">
        <f t="shared" si="12"/>
        <v>1</v>
      </c>
      <c r="P72" s="88">
        <f t="shared" si="12"/>
        <v>0</v>
      </c>
      <c r="Q72" s="88">
        <f t="shared" si="12"/>
        <v>1</v>
      </c>
      <c r="R72" s="88">
        <f t="shared" si="12"/>
        <v>1</v>
      </c>
      <c r="S72" s="88">
        <f t="shared" si="12"/>
        <v>1</v>
      </c>
      <c r="T72" s="69"/>
      <c r="U72" s="69"/>
    </row>
    <row r="73" spans="6:23" x14ac:dyDescent="0.35">
      <c r="F73" t="s">
        <v>831</v>
      </c>
      <c r="G73" s="62" t="s">
        <v>190</v>
      </c>
      <c r="J73" s="88">
        <f t="shared" ref="J73:S73" si="13">IF(J$38 = "", J54, J54 * J$38)</f>
        <v>-1</v>
      </c>
      <c r="K73" s="88">
        <f t="shared" si="13"/>
        <v>-1</v>
      </c>
      <c r="L73" s="88">
        <f t="shared" si="13"/>
        <v>-1</v>
      </c>
      <c r="M73" s="88">
        <f t="shared" si="13"/>
        <v>-1</v>
      </c>
      <c r="N73" s="88">
        <f t="shared" si="13"/>
        <v>-1</v>
      </c>
      <c r="O73" s="88">
        <f t="shared" si="13"/>
        <v>-1</v>
      </c>
      <c r="P73" s="88">
        <f t="shared" si="13"/>
        <v>0</v>
      </c>
      <c r="Q73" s="88">
        <f t="shared" si="13"/>
        <v>-1</v>
      </c>
      <c r="R73" s="88">
        <f t="shared" si="13"/>
        <v>-1</v>
      </c>
      <c r="S73" s="88">
        <f t="shared" si="13"/>
        <v>-1</v>
      </c>
      <c r="T73" s="69"/>
      <c r="U73" s="69"/>
    </row>
    <row r="74" spans="6:23" x14ac:dyDescent="0.35">
      <c r="F74" t="s">
        <v>832</v>
      </c>
      <c r="G74" s="62" t="s">
        <v>190</v>
      </c>
      <c r="J74" s="88">
        <f t="shared" ref="J74:S74" si="14">IF(J$38 = "", J55, J55 * J$38)</f>
        <v>-1</v>
      </c>
      <c r="K74" s="88">
        <f t="shared" si="14"/>
        <v>-1</v>
      </c>
      <c r="L74" s="88">
        <f t="shared" si="14"/>
        <v>-1</v>
      </c>
      <c r="M74" s="88">
        <f t="shared" si="14"/>
        <v>-1</v>
      </c>
      <c r="N74" s="88">
        <f t="shared" si="14"/>
        <v>-1</v>
      </c>
      <c r="O74" s="88">
        <f t="shared" si="14"/>
        <v>-1</v>
      </c>
      <c r="P74" s="88">
        <f t="shared" si="14"/>
        <v>0</v>
      </c>
      <c r="Q74" s="88">
        <f t="shared" si="14"/>
        <v>-1</v>
      </c>
      <c r="R74" s="88">
        <f t="shared" si="14"/>
        <v>-1</v>
      </c>
      <c r="S74" s="88">
        <f t="shared" si="14"/>
        <v>0</v>
      </c>
      <c r="T74" s="69"/>
      <c r="U74" s="69"/>
    </row>
    <row r="75" spans="6:23" x14ac:dyDescent="0.35">
      <c r="F75" t="s">
        <v>833</v>
      </c>
      <c r="G75" s="62" t="s">
        <v>190</v>
      </c>
      <c r="J75" s="88">
        <f t="shared" ref="J75:S75" si="15">IF(J$38 = "", J56, J56 * J$38)</f>
        <v>-1</v>
      </c>
      <c r="K75" s="88">
        <f t="shared" si="15"/>
        <v>-1</v>
      </c>
      <c r="L75" s="88">
        <f t="shared" si="15"/>
        <v>-1</v>
      </c>
      <c r="M75" s="88">
        <f t="shared" si="15"/>
        <v>-1</v>
      </c>
      <c r="N75" s="88">
        <f t="shared" si="15"/>
        <v>-1</v>
      </c>
      <c r="O75" s="88">
        <f t="shared" si="15"/>
        <v>-1</v>
      </c>
      <c r="P75" s="88">
        <f t="shared" si="15"/>
        <v>0</v>
      </c>
      <c r="Q75" s="88">
        <f t="shared" si="15"/>
        <v>-1</v>
      </c>
      <c r="R75" s="88">
        <f t="shared" si="15"/>
        <v>-1</v>
      </c>
      <c r="S75" s="88">
        <f t="shared" si="15"/>
        <v>-1</v>
      </c>
      <c r="T75" s="69"/>
      <c r="U75" s="69"/>
    </row>
    <row r="76" spans="6:23" x14ac:dyDescent="0.35">
      <c r="F76" t="s">
        <v>842</v>
      </c>
      <c r="G76" s="62" t="s">
        <v>190</v>
      </c>
      <c r="J76" s="88">
        <f t="shared" ref="J76:S76" si="16">IF(J$38 = "", J57, J57 * J$38)</f>
        <v>-1</v>
      </c>
      <c r="K76" s="88">
        <f t="shared" si="16"/>
        <v>-1</v>
      </c>
      <c r="L76" s="88">
        <f t="shared" si="16"/>
        <v>-1</v>
      </c>
      <c r="M76" s="88">
        <f t="shared" si="16"/>
        <v>-1</v>
      </c>
      <c r="N76" s="88">
        <f t="shared" si="16"/>
        <v>-1</v>
      </c>
      <c r="O76" s="88">
        <f t="shared" si="16"/>
        <v>-1</v>
      </c>
      <c r="P76" s="88">
        <f t="shared" si="16"/>
        <v>0</v>
      </c>
      <c r="Q76" s="88">
        <f t="shared" si="16"/>
        <v>-1</v>
      </c>
      <c r="R76" s="88">
        <f t="shared" si="16"/>
        <v>-1</v>
      </c>
      <c r="S76" s="88">
        <f t="shared" si="16"/>
        <v>-1</v>
      </c>
      <c r="T76" s="69"/>
      <c r="U76" s="69"/>
    </row>
    <row r="77" spans="6:23" x14ac:dyDescent="0.35">
      <c r="F77" t="s">
        <v>834</v>
      </c>
      <c r="G77" s="62" t="s">
        <v>190</v>
      </c>
      <c r="J77" s="88">
        <f t="shared" ref="J77:S77" si="17">IF(J$38 = "", J58, J58 * J$38)</f>
        <v>-1</v>
      </c>
      <c r="K77" s="88">
        <f t="shared" si="17"/>
        <v>-1</v>
      </c>
      <c r="L77" s="88">
        <f t="shared" si="17"/>
        <v>-1</v>
      </c>
      <c r="M77" s="88">
        <f t="shared" si="17"/>
        <v>-1</v>
      </c>
      <c r="N77" s="88">
        <f t="shared" si="17"/>
        <v>-1</v>
      </c>
      <c r="O77" s="88">
        <f t="shared" si="17"/>
        <v>-1</v>
      </c>
      <c r="P77" s="88">
        <f t="shared" si="17"/>
        <v>0</v>
      </c>
      <c r="Q77" s="88">
        <f t="shared" si="17"/>
        <v>-1</v>
      </c>
      <c r="R77" s="88">
        <f t="shared" si="17"/>
        <v>-1</v>
      </c>
      <c r="S77" s="88">
        <f t="shared" si="17"/>
        <v>0</v>
      </c>
      <c r="T77" s="69"/>
      <c r="U77" s="69"/>
    </row>
    <row r="78" spans="6:23" x14ac:dyDescent="0.35">
      <c r="F78" t="s">
        <v>841</v>
      </c>
      <c r="G78" s="62" t="s">
        <v>190</v>
      </c>
      <c r="J78" s="88">
        <f t="shared" ref="J78:S78" si="18">IF(J$38 = "", J59, J59 * J$38)</f>
        <v>-1</v>
      </c>
      <c r="K78" s="88">
        <f t="shared" si="18"/>
        <v>-1</v>
      </c>
      <c r="L78" s="88">
        <f t="shared" si="18"/>
        <v>-1</v>
      </c>
      <c r="M78" s="88">
        <f t="shared" si="18"/>
        <v>-1</v>
      </c>
      <c r="N78" s="88">
        <f t="shared" si="18"/>
        <v>-1</v>
      </c>
      <c r="O78" s="88">
        <f t="shared" si="18"/>
        <v>-1</v>
      </c>
      <c r="P78" s="88">
        <f t="shared" si="18"/>
        <v>0</v>
      </c>
      <c r="Q78" s="88">
        <f t="shared" si="18"/>
        <v>-1</v>
      </c>
      <c r="R78" s="88">
        <f t="shared" si="18"/>
        <v>-1</v>
      </c>
      <c r="S78" s="88">
        <f t="shared" si="18"/>
        <v>0</v>
      </c>
      <c r="T78" s="69"/>
      <c r="U78" s="69"/>
    </row>
    <row r="79" spans="6:23" x14ac:dyDescent="0.35">
      <c r="F79" t="s">
        <v>835</v>
      </c>
      <c r="G79" s="62" t="s">
        <v>190</v>
      </c>
      <c r="J79" s="88">
        <f t="shared" ref="J79:S79" si="19">IF(J$38 = "", J60, J60 * J$38)</f>
        <v>-1</v>
      </c>
      <c r="K79" s="88">
        <f t="shared" si="19"/>
        <v>-1</v>
      </c>
      <c r="L79" s="88">
        <f t="shared" si="19"/>
        <v>-1</v>
      </c>
      <c r="M79" s="88">
        <f t="shared" si="19"/>
        <v>-1</v>
      </c>
      <c r="N79" s="88">
        <f t="shared" si="19"/>
        <v>-1</v>
      </c>
      <c r="O79" s="88">
        <f t="shared" si="19"/>
        <v>-1</v>
      </c>
      <c r="P79" s="88">
        <f t="shared" si="19"/>
        <v>0</v>
      </c>
      <c r="Q79" s="88">
        <f t="shared" si="19"/>
        <v>-1</v>
      </c>
      <c r="R79" s="88">
        <f t="shared" si="19"/>
        <v>0</v>
      </c>
      <c r="S79" s="88">
        <f t="shared" si="19"/>
        <v>0</v>
      </c>
      <c r="T79" s="69"/>
      <c r="U79" s="69"/>
    </row>
    <row r="80" spans="6:23" x14ac:dyDescent="0.35">
      <c r="F80" s="28" t="s">
        <v>840</v>
      </c>
      <c r="G80" s="70" t="s">
        <v>190</v>
      </c>
      <c r="H80" s="28"/>
      <c r="I80" s="28"/>
      <c r="J80" s="90">
        <f t="shared" ref="J80:S80" si="20">IF(J$38 = "", J61, J61 * J$38)</f>
        <v>-1</v>
      </c>
      <c r="K80" s="90">
        <f t="shared" si="20"/>
        <v>-1</v>
      </c>
      <c r="L80" s="90">
        <f t="shared" si="20"/>
        <v>-1</v>
      </c>
      <c r="M80" s="90">
        <f t="shared" si="20"/>
        <v>-1</v>
      </c>
      <c r="N80" s="90">
        <f t="shared" si="20"/>
        <v>-1</v>
      </c>
      <c r="O80" s="90">
        <f t="shared" si="20"/>
        <v>-1</v>
      </c>
      <c r="P80" s="90">
        <f t="shared" si="20"/>
        <v>0</v>
      </c>
      <c r="Q80" s="90">
        <f t="shared" si="20"/>
        <v>-1</v>
      </c>
      <c r="R80" s="90">
        <f t="shared" si="20"/>
        <v>0</v>
      </c>
      <c r="S80" s="90">
        <f t="shared" si="20"/>
        <v>0</v>
      </c>
      <c r="T80" s="71"/>
      <c r="U80" s="71"/>
    </row>
    <row r="81" spans="5:23" x14ac:dyDescent="0.35">
      <c r="G81" s="12"/>
      <c r="J81" s="79"/>
      <c r="K81" s="79"/>
      <c r="L81" s="79"/>
      <c r="M81" s="79"/>
      <c r="N81" s="79"/>
      <c r="O81" s="79"/>
      <c r="P81" s="79"/>
      <c r="Q81" s="79"/>
      <c r="R81" s="79"/>
      <c r="S81" s="79"/>
      <c r="T81" s="79"/>
      <c r="U81" s="79"/>
    </row>
    <row r="82" spans="5:23" x14ac:dyDescent="0.35">
      <c r="E82" s="27" t="s">
        <v>200</v>
      </c>
      <c r="G82" s="12"/>
      <c r="I82" t="s">
        <v>154</v>
      </c>
      <c r="J82" s="79"/>
      <c r="K82" s="79"/>
      <c r="L82" s="79"/>
      <c r="M82" s="79"/>
      <c r="N82" s="79"/>
      <c r="O82" s="79"/>
      <c r="P82" s="79"/>
      <c r="Q82" s="79"/>
      <c r="R82" s="79"/>
      <c r="S82" s="79"/>
      <c r="T82" s="79"/>
      <c r="U82" s="79"/>
      <c r="W82" s="3" t="s">
        <v>401</v>
      </c>
    </row>
    <row r="83" spans="5:23" x14ac:dyDescent="0.35">
      <c r="E83" s="24" t="s">
        <v>202</v>
      </c>
      <c r="G83" s="12"/>
      <c r="J83" s="79"/>
      <c r="K83" s="79"/>
      <c r="L83" s="79"/>
      <c r="M83" s="79"/>
      <c r="N83" s="79"/>
      <c r="O83" s="79"/>
      <c r="P83" s="79"/>
      <c r="Q83" s="79"/>
      <c r="R83" s="79"/>
      <c r="S83" s="79"/>
      <c r="T83" s="79"/>
      <c r="U83" s="79"/>
    </row>
    <row r="84" spans="5:23" x14ac:dyDescent="0.35">
      <c r="F84" s="19" t="s">
        <v>827</v>
      </c>
      <c r="G84" s="68" t="s">
        <v>176</v>
      </c>
      <c r="H84" s="19"/>
      <c r="I84" s="19"/>
      <c r="J84" s="114">
        <f t="array" ref="J84:S99">TRANSPOSE('Fixed inputs'!J73:Y82)</f>
        <v>1</v>
      </c>
      <c r="K84" s="114">
        <v>1</v>
      </c>
      <c r="L84" s="114">
        <v>1</v>
      </c>
      <c r="M84" s="114">
        <v>1</v>
      </c>
      <c r="N84" s="114">
        <v>1</v>
      </c>
      <c r="O84" s="114">
        <v>1</v>
      </c>
      <c r="P84" s="114">
        <v>1</v>
      </c>
      <c r="Q84" s="114">
        <v>1</v>
      </c>
      <c r="R84" s="114">
        <v>1</v>
      </c>
      <c r="S84" s="114">
        <v>1</v>
      </c>
      <c r="T84" s="73"/>
      <c r="U84" s="73"/>
    </row>
    <row r="85" spans="5:23" x14ac:dyDescent="0.35">
      <c r="F85" t="s">
        <v>829</v>
      </c>
      <c r="G85" s="62" t="s">
        <v>176</v>
      </c>
      <c r="J85" s="110">
        <v>1</v>
      </c>
      <c r="K85" s="110">
        <v>1</v>
      </c>
      <c r="L85" s="110">
        <v>1</v>
      </c>
      <c r="M85" s="110">
        <v>1</v>
      </c>
      <c r="N85" s="110">
        <v>1</v>
      </c>
      <c r="O85" s="110">
        <v>1</v>
      </c>
      <c r="P85" s="110">
        <v>1</v>
      </c>
      <c r="Q85" s="110">
        <v>1</v>
      </c>
      <c r="R85" s="110">
        <v>1</v>
      </c>
      <c r="S85" s="110">
        <v>1</v>
      </c>
      <c r="T85" s="69"/>
      <c r="U85" s="69"/>
    </row>
    <row r="86" spans="5:23" x14ac:dyDescent="0.35">
      <c r="F86" t="s">
        <v>828</v>
      </c>
      <c r="G86" s="62" t="s">
        <v>176</v>
      </c>
      <c r="J86" s="110">
        <v>1</v>
      </c>
      <c r="K86" s="110">
        <v>1</v>
      </c>
      <c r="L86" s="110">
        <v>1</v>
      </c>
      <c r="M86" s="110">
        <v>1</v>
      </c>
      <c r="N86" s="110">
        <v>1</v>
      </c>
      <c r="O86" s="110">
        <v>1</v>
      </c>
      <c r="P86" s="110">
        <v>1</v>
      </c>
      <c r="Q86" s="110">
        <v>1</v>
      </c>
      <c r="R86" s="110">
        <v>1</v>
      </c>
      <c r="S86" s="110">
        <v>1</v>
      </c>
      <c r="T86" s="69"/>
      <c r="U86" s="69"/>
    </row>
    <row r="87" spans="5:23" x14ac:dyDescent="0.35">
      <c r="F87" t="s">
        <v>830</v>
      </c>
      <c r="G87" s="62" t="s">
        <v>176</v>
      </c>
      <c r="J87" s="110">
        <v>1</v>
      </c>
      <c r="K87" s="110">
        <v>1</v>
      </c>
      <c r="L87" s="110">
        <v>1</v>
      </c>
      <c r="M87" s="110">
        <v>1</v>
      </c>
      <c r="N87" s="110">
        <v>1</v>
      </c>
      <c r="O87" s="110">
        <v>1</v>
      </c>
      <c r="P87" s="110">
        <v>1</v>
      </c>
      <c r="Q87" s="110">
        <v>1</v>
      </c>
      <c r="R87" s="110">
        <v>1</v>
      </c>
      <c r="S87" s="110">
        <v>1</v>
      </c>
      <c r="T87" s="69"/>
      <c r="U87" s="69"/>
    </row>
    <row r="88" spans="5:23" x14ac:dyDescent="0.35">
      <c r="F88" t="s">
        <v>836</v>
      </c>
      <c r="G88" s="62" t="s">
        <v>176</v>
      </c>
      <c r="J88" s="110">
        <v>1</v>
      </c>
      <c r="K88" s="110">
        <v>1</v>
      </c>
      <c r="L88" s="110">
        <v>1</v>
      </c>
      <c r="M88" s="110">
        <v>1</v>
      </c>
      <c r="N88" s="110">
        <v>1</v>
      </c>
      <c r="O88" s="110">
        <v>1</v>
      </c>
      <c r="P88" s="110">
        <v>1</v>
      </c>
      <c r="Q88" s="110">
        <v>1</v>
      </c>
      <c r="R88" s="110">
        <v>1</v>
      </c>
      <c r="S88" s="110">
        <v>1</v>
      </c>
      <c r="T88" s="69"/>
      <c r="U88" s="69"/>
    </row>
    <row r="89" spans="5:23" x14ac:dyDescent="0.35">
      <c r="F89" t="s">
        <v>837</v>
      </c>
      <c r="G89" s="62" t="s">
        <v>176</v>
      </c>
      <c r="J89" s="110">
        <v>1</v>
      </c>
      <c r="K89" s="110">
        <v>1</v>
      </c>
      <c r="L89" s="110">
        <v>1</v>
      </c>
      <c r="M89" s="110">
        <v>1</v>
      </c>
      <c r="N89" s="110">
        <v>1</v>
      </c>
      <c r="O89" s="110">
        <v>1</v>
      </c>
      <c r="P89" s="110">
        <v>1</v>
      </c>
      <c r="Q89" s="110">
        <v>1</v>
      </c>
      <c r="R89" s="110">
        <v>1</v>
      </c>
      <c r="S89" s="110">
        <v>0</v>
      </c>
      <c r="T89" s="69"/>
      <c r="U89" s="69"/>
    </row>
    <row r="90" spans="5:23" x14ac:dyDescent="0.35">
      <c r="F90" t="s">
        <v>838</v>
      </c>
      <c r="G90" s="62" t="s">
        <v>176</v>
      </c>
      <c r="J90" s="110">
        <v>1</v>
      </c>
      <c r="K90" s="110">
        <v>1</v>
      </c>
      <c r="L90" s="110">
        <v>1</v>
      </c>
      <c r="M90" s="110">
        <v>1</v>
      </c>
      <c r="N90" s="110">
        <v>1</v>
      </c>
      <c r="O90" s="110">
        <v>1</v>
      </c>
      <c r="P90" s="110">
        <v>1</v>
      </c>
      <c r="Q90" s="110">
        <v>1</v>
      </c>
      <c r="R90" s="110">
        <v>0</v>
      </c>
      <c r="S90" s="110">
        <v>0</v>
      </c>
      <c r="T90" s="69"/>
      <c r="U90" s="69"/>
    </row>
    <row r="91" spans="5:23" x14ac:dyDescent="0.35">
      <c r="F91" t="s">
        <v>839</v>
      </c>
      <c r="G91" s="62" t="s">
        <v>176</v>
      </c>
      <c r="J91" s="110">
        <v>1</v>
      </c>
      <c r="K91" s="110">
        <v>1</v>
      </c>
      <c r="L91" s="110">
        <v>1</v>
      </c>
      <c r="M91" s="110">
        <v>1</v>
      </c>
      <c r="N91" s="110">
        <v>1</v>
      </c>
      <c r="O91" s="110">
        <v>1</v>
      </c>
      <c r="P91" s="110">
        <v>1</v>
      </c>
      <c r="Q91" s="110">
        <v>1</v>
      </c>
      <c r="R91" s="110">
        <v>1</v>
      </c>
      <c r="S91" s="110">
        <v>1</v>
      </c>
      <c r="T91" s="69"/>
      <c r="U91" s="69"/>
    </row>
    <row r="92" spans="5:23" x14ac:dyDescent="0.35">
      <c r="F92" t="s">
        <v>831</v>
      </c>
      <c r="G92" s="62" t="s">
        <v>176</v>
      </c>
      <c r="J92" s="110">
        <v>-1</v>
      </c>
      <c r="K92" s="110">
        <v>-1</v>
      </c>
      <c r="L92" s="110">
        <v>-1</v>
      </c>
      <c r="M92" s="110">
        <v>-1</v>
      </c>
      <c r="N92" s="110">
        <v>-1</v>
      </c>
      <c r="O92" s="110">
        <v>-1</v>
      </c>
      <c r="P92" s="110">
        <v>-1</v>
      </c>
      <c r="Q92" s="110">
        <v>-1</v>
      </c>
      <c r="R92" s="110">
        <v>-1</v>
      </c>
      <c r="S92" s="110">
        <v>0</v>
      </c>
      <c r="T92" s="69"/>
      <c r="U92" s="69"/>
    </row>
    <row r="93" spans="5:23" x14ac:dyDescent="0.35">
      <c r="F93" t="s">
        <v>832</v>
      </c>
      <c r="G93" s="62" t="s">
        <v>176</v>
      </c>
      <c r="J93" s="110">
        <v>-1</v>
      </c>
      <c r="K93" s="110">
        <v>-1</v>
      </c>
      <c r="L93" s="110">
        <v>-1</v>
      </c>
      <c r="M93" s="110">
        <v>-1</v>
      </c>
      <c r="N93" s="110">
        <v>-1</v>
      </c>
      <c r="O93" s="110">
        <v>-1</v>
      </c>
      <c r="P93" s="110">
        <v>-1</v>
      </c>
      <c r="Q93" s="110">
        <v>-1</v>
      </c>
      <c r="R93" s="110">
        <v>0</v>
      </c>
      <c r="S93" s="110">
        <v>0</v>
      </c>
      <c r="T93" s="69"/>
      <c r="U93" s="69"/>
    </row>
    <row r="94" spans="5:23" x14ac:dyDescent="0.35">
      <c r="F94" t="s">
        <v>833</v>
      </c>
      <c r="G94" s="62" t="s">
        <v>176</v>
      </c>
      <c r="J94" s="110">
        <v>-1</v>
      </c>
      <c r="K94" s="110">
        <v>-1</v>
      </c>
      <c r="L94" s="110">
        <v>-1</v>
      </c>
      <c r="M94" s="110">
        <v>-1</v>
      </c>
      <c r="N94" s="110">
        <v>-1</v>
      </c>
      <c r="O94" s="110">
        <v>-1</v>
      </c>
      <c r="P94" s="110">
        <v>-1</v>
      </c>
      <c r="Q94" s="110">
        <v>-1</v>
      </c>
      <c r="R94" s="110">
        <v>-1</v>
      </c>
      <c r="S94" s="110">
        <v>0</v>
      </c>
      <c r="T94" s="69"/>
      <c r="U94" s="69"/>
    </row>
    <row r="95" spans="5:23" x14ac:dyDescent="0.35">
      <c r="F95" t="s">
        <v>842</v>
      </c>
      <c r="G95" s="62" t="s">
        <v>176</v>
      </c>
      <c r="J95" s="110">
        <v>-1</v>
      </c>
      <c r="K95" s="110">
        <v>-1</v>
      </c>
      <c r="L95" s="110">
        <v>-1</v>
      </c>
      <c r="M95" s="110">
        <v>-1</v>
      </c>
      <c r="N95" s="110">
        <v>-1</v>
      </c>
      <c r="O95" s="110">
        <v>-1</v>
      </c>
      <c r="P95" s="110">
        <v>-1</v>
      </c>
      <c r="Q95" s="110">
        <v>-1</v>
      </c>
      <c r="R95" s="110">
        <v>-1</v>
      </c>
      <c r="S95" s="110">
        <v>0</v>
      </c>
      <c r="T95" s="69"/>
      <c r="U95" s="69"/>
    </row>
    <row r="96" spans="5:23" x14ac:dyDescent="0.35">
      <c r="F96" t="s">
        <v>834</v>
      </c>
      <c r="G96" s="62" t="s">
        <v>176</v>
      </c>
      <c r="J96" s="110">
        <v>-1</v>
      </c>
      <c r="K96" s="110">
        <v>-1</v>
      </c>
      <c r="L96" s="110">
        <v>-1</v>
      </c>
      <c r="M96" s="110">
        <v>-1</v>
      </c>
      <c r="N96" s="110">
        <v>-1</v>
      </c>
      <c r="O96" s="110">
        <v>-1</v>
      </c>
      <c r="P96" s="110">
        <v>-1</v>
      </c>
      <c r="Q96" s="110">
        <v>-1</v>
      </c>
      <c r="R96" s="110">
        <v>0</v>
      </c>
      <c r="S96" s="110">
        <v>0</v>
      </c>
      <c r="T96" s="69"/>
      <c r="U96" s="69"/>
    </row>
    <row r="97" spans="5:23" x14ac:dyDescent="0.35">
      <c r="F97" t="s">
        <v>841</v>
      </c>
      <c r="G97" s="62" t="s">
        <v>176</v>
      </c>
      <c r="J97" s="110">
        <v>-1</v>
      </c>
      <c r="K97" s="110">
        <v>-1</v>
      </c>
      <c r="L97" s="110">
        <v>-1</v>
      </c>
      <c r="M97" s="110">
        <v>-1</v>
      </c>
      <c r="N97" s="110">
        <v>-1</v>
      </c>
      <c r="O97" s="110">
        <v>-1</v>
      </c>
      <c r="P97" s="110">
        <v>-1</v>
      </c>
      <c r="Q97" s="110">
        <v>-1</v>
      </c>
      <c r="R97" s="110">
        <v>0</v>
      </c>
      <c r="S97" s="110">
        <v>0</v>
      </c>
      <c r="T97" s="69"/>
      <c r="U97" s="69"/>
    </row>
    <row r="98" spans="5:23" x14ac:dyDescent="0.35">
      <c r="F98" t="s">
        <v>835</v>
      </c>
      <c r="G98" s="62" t="s">
        <v>176</v>
      </c>
      <c r="J98" s="110">
        <v>-1</v>
      </c>
      <c r="K98" s="110">
        <v>-1</v>
      </c>
      <c r="L98" s="110">
        <v>-1</v>
      </c>
      <c r="M98" s="110">
        <v>-1</v>
      </c>
      <c r="N98" s="110">
        <v>-1</v>
      </c>
      <c r="O98" s="110">
        <v>-1</v>
      </c>
      <c r="P98" s="110">
        <v>-1</v>
      </c>
      <c r="Q98" s="110">
        <v>0</v>
      </c>
      <c r="R98" s="110">
        <v>0</v>
      </c>
      <c r="S98" s="110">
        <v>0</v>
      </c>
      <c r="T98" s="69"/>
      <c r="U98" s="69"/>
    </row>
    <row r="99" spans="5:23" x14ac:dyDescent="0.35">
      <c r="F99" s="28" t="s">
        <v>840</v>
      </c>
      <c r="G99" s="70" t="s">
        <v>176</v>
      </c>
      <c r="H99" s="28"/>
      <c r="I99" s="28"/>
      <c r="J99" s="115">
        <v>-1</v>
      </c>
      <c r="K99" s="115">
        <v>-1</v>
      </c>
      <c r="L99" s="115">
        <v>-1</v>
      </c>
      <c r="M99" s="115">
        <v>-1</v>
      </c>
      <c r="N99" s="115">
        <v>-1</v>
      </c>
      <c r="O99" s="115">
        <v>-1</v>
      </c>
      <c r="P99" s="115">
        <v>-1</v>
      </c>
      <c r="Q99" s="115">
        <v>0</v>
      </c>
      <c r="R99" s="115">
        <v>0</v>
      </c>
      <c r="S99" s="115">
        <v>0</v>
      </c>
      <c r="T99" s="71"/>
      <c r="U99" s="71"/>
    </row>
    <row r="100" spans="5:23" x14ac:dyDescent="0.35">
      <c r="G100" s="12"/>
      <c r="J100" s="79"/>
      <c r="K100" s="79"/>
      <c r="L100" s="79"/>
      <c r="M100" s="79"/>
      <c r="N100" s="79"/>
      <c r="O100" s="79"/>
      <c r="P100" s="79"/>
      <c r="Q100" s="79"/>
      <c r="R100" s="79"/>
      <c r="S100" s="79"/>
      <c r="T100" s="79"/>
      <c r="U100" s="79"/>
    </row>
    <row r="101" spans="5:23" x14ac:dyDescent="0.35">
      <c r="E101" s="27" t="s">
        <v>402</v>
      </c>
      <c r="G101" s="12"/>
      <c r="I101" t="s">
        <v>154</v>
      </c>
      <c r="J101" s="79"/>
      <c r="K101" s="79"/>
      <c r="L101" s="79"/>
      <c r="M101" s="79"/>
      <c r="N101" s="79"/>
      <c r="O101" s="79"/>
      <c r="P101" s="79"/>
      <c r="Q101" s="79"/>
      <c r="R101" s="79"/>
      <c r="S101" s="79"/>
      <c r="T101" s="79"/>
      <c r="U101" s="79"/>
      <c r="W101" s="3" t="s">
        <v>401</v>
      </c>
    </row>
    <row r="102" spans="5:23" x14ac:dyDescent="0.35">
      <c r="E102" s="24" t="s">
        <v>202</v>
      </c>
      <c r="G102" s="12"/>
      <c r="J102" s="79"/>
      <c r="K102" s="79"/>
      <c r="L102" s="79"/>
      <c r="M102" s="79"/>
      <c r="N102" s="79"/>
      <c r="O102" s="79"/>
      <c r="P102" s="79"/>
      <c r="Q102" s="79"/>
      <c r="R102" s="79"/>
      <c r="S102" s="79"/>
      <c r="T102" s="79"/>
      <c r="U102" s="79"/>
    </row>
    <row r="103" spans="5:23" x14ac:dyDescent="0.35">
      <c r="E103" s="24" t="s">
        <v>400</v>
      </c>
      <c r="G103" s="12"/>
      <c r="J103" s="79"/>
      <c r="K103" s="79"/>
      <c r="L103" s="79"/>
      <c r="M103" s="79"/>
      <c r="N103" s="79"/>
      <c r="O103" s="79"/>
      <c r="P103" s="79"/>
      <c r="Q103" s="79"/>
      <c r="R103" s="79"/>
      <c r="S103" s="79"/>
      <c r="T103" s="79"/>
      <c r="U103" s="79"/>
    </row>
    <row r="104" spans="5:23" x14ac:dyDescent="0.35">
      <c r="F104" s="19" t="s">
        <v>827</v>
      </c>
      <c r="G104" s="68" t="s">
        <v>176</v>
      </c>
      <c r="H104" s="19"/>
      <c r="I104" s="19"/>
      <c r="J104" s="116">
        <f t="shared" ref="J104:S104" si="21">IF(J$38 = "", J84, J84 * J$38)</f>
        <v>1</v>
      </c>
      <c r="K104" s="116">
        <f t="shared" si="21"/>
        <v>1</v>
      </c>
      <c r="L104" s="116">
        <f t="shared" si="21"/>
        <v>1</v>
      </c>
      <c r="M104" s="116">
        <f t="shared" si="21"/>
        <v>1</v>
      </c>
      <c r="N104" s="116">
        <f t="shared" si="21"/>
        <v>1</v>
      </c>
      <c r="O104" s="116">
        <f t="shared" si="21"/>
        <v>1</v>
      </c>
      <c r="P104" s="116">
        <f t="shared" si="21"/>
        <v>0</v>
      </c>
      <c r="Q104" s="116">
        <f t="shared" si="21"/>
        <v>1</v>
      </c>
      <c r="R104" s="116">
        <f t="shared" si="21"/>
        <v>1</v>
      </c>
      <c r="S104" s="116">
        <f t="shared" si="21"/>
        <v>1</v>
      </c>
      <c r="T104" s="73"/>
      <c r="U104" s="73"/>
    </row>
    <row r="105" spans="5:23" x14ac:dyDescent="0.35">
      <c r="F105" t="s">
        <v>829</v>
      </c>
      <c r="G105" s="62" t="s">
        <v>176</v>
      </c>
      <c r="J105" s="88">
        <f t="shared" ref="J105:S105" si="22">IF(J$38 = "", J85, J85 * J$38)</f>
        <v>1</v>
      </c>
      <c r="K105" s="88">
        <f t="shared" si="22"/>
        <v>1</v>
      </c>
      <c r="L105" s="88">
        <f t="shared" si="22"/>
        <v>1</v>
      </c>
      <c r="M105" s="88">
        <f t="shared" si="22"/>
        <v>1</v>
      </c>
      <c r="N105" s="88">
        <f t="shared" si="22"/>
        <v>1</v>
      </c>
      <c r="O105" s="88">
        <f t="shared" si="22"/>
        <v>1</v>
      </c>
      <c r="P105" s="88">
        <f t="shared" si="22"/>
        <v>0</v>
      </c>
      <c r="Q105" s="88">
        <f t="shared" si="22"/>
        <v>1</v>
      </c>
      <c r="R105" s="88">
        <f t="shared" si="22"/>
        <v>1</v>
      </c>
      <c r="S105" s="88">
        <f t="shared" si="22"/>
        <v>1</v>
      </c>
      <c r="T105" s="69"/>
      <c r="U105" s="69"/>
    </row>
    <row r="106" spans="5:23" x14ac:dyDescent="0.35">
      <c r="F106" t="s">
        <v>828</v>
      </c>
      <c r="G106" s="62" t="s">
        <v>176</v>
      </c>
      <c r="J106" s="88">
        <f t="shared" ref="J106:S106" si="23">IF(J$38 = "", J86, J86 * J$38)</f>
        <v>1</v>
      </c>
      <c r="K106" s="88">
        <f t="shared" si="23"/>
        <v>1</v>
      </c>
      <c r="L106" s="88">
        <f t="shared" si="23"/>
        <v>1</v>
      </c>
      <c r="M106" s="88">
        <f t="shared" si="23"/>
        <v>1</v>
      </c>
      <c r="N106" s="88">
        <f t="shared" si="23"/>
        <v>1</v>
      </c>
      <c r="O106" s="88">
        <f t="shared" si="23"/>
        <v>1</v>
      </c>
      <c r="P106" s="88">
        <f t="shared" si="23"/>
        <v>0</v>
      </c>
      <c r="Q106" s="88">
        <f t="shared" si="23"/>
        <v>1</v>
      </c>
      <c r="R106" s="88">
        <f t="shared" si="23"/>
        <v>1</v>
      </c>
      <c r="S106" s="88">
        <f t="shared" si="23"/>
        <v>1</v>
      </c>
      <c r="T106" s="69"/>
      <c r="U106" s="69"/>
    </row>
    <row r="107" spans="5:23" x14ac:dyDescent="0.35">
      <c r="F107" t="s">
        <v>830</v>
      </c>
      <c r="G107" s="62" t="s">
        <v>176</v>
      </c>
      <c r="J107" s="88">
        <f t="shared" ref="J107:S107" si="24">IF(J$38 = "", J87, J87 * J$38)</f>
        <v>1</v>
      </c>
      <c r="K107" s="88">
        <f t="shared" si="24"/>
        <v>1</v>
      </c>
      <c r="L107" s="88">
        <f t="shared" si="24"/>
        <v>1</v>
      </c>
      <c r="M107" s="88">
        <f t="shared" si="24"/>
        <v>1</v>
      </c>
      <c r="N107" s="88">
        <f t="shared" si="24"/>
        <v>1</v>
      </c>
      <c r="O107" s="88">
        <f t="shared" si="24"/>
        <v>1</v>
      </c>
      <c r="P107" s="88">
        <f t="shared" si="24"/>
        <v>0</v>
      </c>
      <c r="Q107" s="88">
        <f t="shared" si="24"/>
        <v>1</v>
      </c>
      <c r="R107" s="88">
        <f t="shared" si="24"/>
        <v>1</v>
      </c>
      <c r="S107" s="88">
        <f t="shared" si="24"/>
        <v>1</v>
      </c>
      <c r="T107" s="69"/>
      <c r="U107" s="69"/>
    </row>
    <row r="108" spans="5:23" x14ac:dyDescent="0.35">
      <c r="F108" t="s">
        <v>836</v>
      </c>
      <c r="G108" s="62" t="s">
        <v>176</v>
      </c>
      <c r="J108" s="88">
        <f t="shared" ref="J108:S108" si="25">IF(J$38 = "", J88, J88 * J$38)</f>
        <v>1</v>
      </c>
      <c r="K108" s="88">
        <f t="shared" si="25"/>
        <v>1</v>
      </c>
      <c r="L108" s="88">
        <f t="shared" si="25"/>
        <v>1</v>
      </c>
      <c r="M108" s="88">
        <f t="shared" si="25"/>
        <v>1</v>
      </c>
      <c r="N108" s="88">
        <f t="shared" si="25"/>
        <v>1</v>
      </c>
      <c r="O108" s="88">
        <f t="shared" si="25"/>
        <v>1</v>
      </c>
      <c r="P108" s="88">
        <f t="shared" si="25"/>
        <v>0</v>
      </c>
      <c r="Q108" s="88">
        <f t="shared" si="25"/>
        <v>1</v>
      </c>
      <c r="R108" s="88">
        <f t="shared" si="25"/>
        <v>1</v>
      </c>
      <c r="S108" s="88">
        <f t="shared" si="25"/>
        <v>1</v>
      </c>
      <c r="T108" s="69"/>
      <c r="U108" s="69"/>
    </row>
    <row r="109" spans="5:23" x14ac:dyDescent="0.35">
      <c r="F109" t="s">
        <v>837</v>
      </c>
      <c r="G109" s="62" t="s">
        <v>176</v>
      </c>
      <c r="J109" s="88">
        <f t="shared" ref="J109:S109" si="26">IF(J$38 = "", J89, J89 * J$38)</f>
        <v>1</v>
      </c>
      <c r="K109" s="88">
        <f t="shared" si="26"/>
        <v>1</v>
      </c>
      <c r="L109" s="88">
        <f t="shared" si="26"/>
        <v>1</v>
      </c>
      <c r="M109" s="88">
        <f t="shared" si="26"/>
        <v>1</v>
      </c>
      <c r="N109" s="88">
        <f t="shared" si="26"/>
        <v>1</v>
      </c>
      <c r="O109" s="88">
        <f t="shared" si="26"/>
        <v>1</v>
      </c>
      <c r="P109" s="88">
        <f t="shared" si="26"/>
        <v>0</v>
      </c>
      <c r="Q109" s="88">
        <f t="shared" si="26"/>
        <v>1</v>
      </c>
      <c r="R109" s="88">
        <f t="shared" si="26"/>
        <v>1</v>
      </c>
      <c r="S109" s="88">
        <f t="shared" si="26"/>
        <v>0</v>
      </c>
      <c r="T109" s="69"/>
      <c r="U109" s="69"/>
    </row>
    <row r="110" spans="5:23" x14ac:dyDescent="0.35">
      <c r="F110" t="s">
        <v>838</v>
      </c>
      <c r="G110" s="62" t="s">
        <v>176</v>
      </c>
      <c r="J110" s="88">
        <f t="shared" ref="J110:S110" si="27">IF(J$38 = "", J90, J90 * J$38)</f>
        <v>1</v>
      </c>
      <c r="K110" s="88">
        <f t="shared" si="27"/>
        <v>1</v>
      </c>
      <c r="L110" s="88">
        <f t="shared" si="27"/>
        <v>1</v>
      </c>
      <c r="M110" s="88">
        <f t="shared" si="27"/>
        <v>1</v>
      </c>
      <c r="N110" s="88">
        <f t="shared" si="27"/>
        <v>1</v>
      </c>
      <c r="O110" s="88">
        <f t="shared" si="27"/>
        <v>1</v>
      </c>
      <c r="P110" s="88">
        <f t="shared" si="27"/>
        <v>0</v>
      </c>
      <c r="Q110" s="88">
        <f t="shared" si="27"/>
        <v>1</v>
      </c>
      <c r="R110" s="88">
        <f t="shared" si="27"/>
        <v>0</v>
      </c>
      <c r="S110" s="88">
        <f t="shared" si="27"/>
        <v>0</v>
      </c>
      <c r="T110" s="69"/>
      <c r="U110" s="69"/>
    </row>
    <row r="111" spans="5:23" x14ac:dyDescent="0.35">
      <c r="F111" t="s">
        <v>839</v>
      </c>
      <c r="G111" s="62" t="s">
        <v>176</v>
      </c>
      <c r="J111" s="88">
        <f t="shared" ref="J111:S111" si="28">IF(J$38 = "", J91, J91 * J$38)</f>
        <v>1</v>
      </c>
      <c r="K111" s="88">
        <f t="shared" si="28"/>
        <v>1</v>
      </c>
      <c r="L111" s="88">
        <f t="shared" si="28"/>
        <v>1</v>
      </c>
      <c r="M111" s="88">
        <f t="shared" si="28"/>
        <v>1</v>
      </c>
      <c r="N111" s="88">
        <f t="shared" si="28"/>
        <v>1</v>
      </c>
      <c r="O111" s="88">
        <f t="shared" si="28"/>
        <v>1</v>
      </c>
      <c r="P111" s="88">
        <f t="shared" si="28"/>
        <v>0</v>
      </c>
      <c r="Q111" s="88">
        <f t="shared" si="28"/>
        <v>1</v>
      </c>
      <c r="R111" s="88">
        <f t="shared" si="28"/>
        <v>1</v>
      </c>
      <c r="S111" s="88">
        <f t="shared" si="28"/>
        <v>1</v>
      </c>
      <c r="T111" s="69"/>
      <c r="U111" s="69"/>
    </row>
    <row r="112" spans="5:23" x14ac:dyDescent="0.35">
      <c r="F112" t="s">
        <v>831</v>
      </c>
      <c r="G112" s="62" t="s">
        <v>176</v>
      </c>
      <c r="J112" s="88">
        <f t="shared" ref="J112:S112" si="29">IF(J$38 = "", J92, J92 * J$38)</f>
        <v>-1</v>
      </c>
      <c r="K112" s="88">
        <f t="shared" si="29"/>
        <v>-1</v>
      </c>
      <c r="L112" s="88">
        <f t="shared" si="29"/>
        <v>-1</v>
      </c>
      <c r="M112" s="88">
        <f t="shared" si="29"/>
        <v>-1</v>
      </c>
      <c r="N112" s="88">
        <f t="shared" si="29"/>
        <v>-1</v>
      </c>
      <c r="O112" s="88">
        <f t="shared" si="29"/>
        <v>-1</v>
      </c>
      <c r="P112" s="88">
        <f t="shared" si="29"/>
        <v>0</v>
      </c>
      <c r="Q112" s="88">
        <f t="shared" si="29"/>
        <v>-1</v>
      </c>
      <c r="R112" s="88">
        <f t="shared" si="29"/>
        <v>-1</v>
      </c>
      <c r="S112" s="88">
        <f t="shared" si="29"/>
        <v>0</v>
      </c>
      <c r="T112" s="69"/>
      <c r="U112" s="69"/>
    </row>
    <row r="113" spans="3:23" x14ac:dyDescent="0.35">
      <c r="F113" t="s">
        <v>832</v>
      </c>
      <c r="G113" s="62" t="s">
        <v>176</v>
      </c>
      <c r="J113" s="88">
        <f t="shared" ref="J113:S113" si="30">IF(J$38 = "", J93, J93 * J$38)</f>
        <v>-1</v>
      </c>
      <c r="K113" s="88">
        <f t="shared" si="30"/>
        <v>-1</v>
      </c>
      <c r="L113" s="88">
        <f t="shared" si="30"/>
        <v>-1</v>
      </c>
      <c r="M113" s="88">
        <f t="shared" si="30"/>
        <v>-1</v>
      </c>
      <c r="N113" s="88">
        <f t="shared" si="30"/>
        <v>-1</v>
      </c>
      <c r="O113" s="88">
        <f t="shared" si="30"/>
        <v>-1</v>
      </c>
      <c r="P113" s="88">
        <f t="shared" si="30"/>
        <v>0</v>
      </c>
      <c r="Q113" s="88">
        <f t="shared" si="30"/>
        <v>-1</v>
      </c>
      <c r="R113" s="88">
        <f t="shared" si="30"/>
        <v>0</v>
      </c>
      <c r="S113" s="88">
        <f t="shared" si="30"/>
        <v>0</v>
      </c>
      <c r="T113" s="69"/>
      <c r="U113" s="69"/>
    </row>
    <row r="114" spans="3:23" x14ac:dyDescent="0.35">
      <c r="F114" t="s">
        <v>833</v>
      </c>
      <c r="G114" s="62" t="s">
        <v>176</v>
      </c>
      <c r="J114" s="88">
        <f t="shared" ref="J114:S114" si="31">IF(J$38 = "", J94, J94 * J$38)</f>
        <v>-1</v>
      </c>
      <c r="K114" s="88">
        <f t="shared" si="31"/>
        <v>-1</v>
      </c>
      <c r="L114" s="88">
        <f t="shared" si="31"/>
        <v>-1</v>
      </c>
      <c r="M114" s="88">
        <f t="shared" si="31"/>
        <v>-1</v>
      </c>
      <c r="N114" s="88">
        <f t="shared" si="31"/>
        <v>-1</v>
      </c>
      <c r="O114" s="88">
        <f t="shared" si="31"/>
        <v>-1</v>
      </c>
      <c r="P114" s="88">
        <f t="shared" si="31"/>
        <v>0</v>
      </c>
      <c r="Q114" s="88">
        <f t="shared" si="31"/>
        <v>-1</v>
      </c>
      <c r="R114" s="88">
        <f t="shared" si="31"/>
        <v>-1</v>
      </c>
      <c r="S114" s="88">
        <f t="shared" si="31"/>
        <v>0</v>
      </c>
      <c r="T114" s="69"/>
      <c r="U114" s="69"/>
    </row>
    <row r="115" spans="3:23" x14ac:dyDescent="0.35">
      <c r="F115" t="s">
        <v>842</v>
      </c>
      <c r="G115" s="62" t="s">
        <v>176</v>
      </c>
      <c r="J115" s="88">
        <f t="shared" ref="J115:S115" si="32">IF(J$38 = "", J95, J95 * J$38)</f>
        <v>-1</v>
      </c>
      <c r="K115" s="88">
        <f t="shared" si="32"/>
        <v>-1</v>
      </c>
      <c r="L115" s="88">
        <f t="shared" si="32"/>
        <v>-1</v>
      </c>
      <c r="M115" s="88">
        <f t="shared" si="32"/>
        <v>-1</v>
      </c>
      <c r="N115" s="88">
        <f t="shared" si="32"/>
        <v>-1</v>
      </c>
      <c r="O115" s="88">
        <f t="shared" si="32"/>
        <v>-1</v>
      </c>
      <c r="P115" s="88">
        <f t="shared" si="32"/>
        <v>0</v>
      </c>
      <c r="Q115" s="88">
        <f t="shared" si="32"/>
        <v>-1</v>
      </c>
      <c r="R115" s="88">
        <f t="shared" si="32"/>
        <v>-1</v>
      </c>
      <c r="S115" s="88">
        <f t="shared" si="32"/>
        <v>0</v>
      </c>
      <c r="T115" s="69"/>
      <c r="U115" s="69"/>
    </row>
    <row r="116" spans="3:23" x14ac:dyDescent="0.35">
      <c r="F116" t="s">
        <v>834</v>
      </c>
      <c r="G116" s="62" t="s">
        <v>176</v>
      </c>
      <c r="J116" s="88">
        <f t="shared" ref="J116:S116" si="33">IF(J$38 = "", J96, J96 * J$38)</f>
        <v>-1</v>
      </c>
      <c r="K116" s="88">
        <f t="shared" si="33"/>
        <v>-1</v>
      </c>
      <c r="L116" s="88">
        <f t="shared" si="33"/>
        <v>-1</v>
      </c>
      <c r="M116" s="88">
        <f t="shared" si="33"/>
        <v>-1</v>
      </c>
      <c r="N116" s="88">
        <f t="shared" si="33"/>
        <v>-1</v>
      </c>
      <c r="O116" s="88">
        <f t="shared" si="33"/>
        <v>-1</v>
      </c>
      <c r="P116" s="88">
        <f t="shared" si="33"/>
        <v>0</v>
      </c>
      <c r="Q116" s="88">
        <f t="shared" si="33"/>
        <v>-1</v>
      </c>
      <c r="R116" s="88">
        <f t="shared" si="33"/>
        <v>0</v>
      </c>
      <c r="S116" s="88">
        <f t="shared" si="33"/>
        <v>0</v>
      </c>
      <c r="T116" s="69"/>
      <c r="U116" s="69"/>
    </row>
    <row r="117" spans="3:23" x14ac:dyDescent="0.35">
      <c r="F117" t="s">
        <v>841</v>
      </c>
      <c r="G117" s="62" t="s">
        <v>176</v>
      </c>
      <c r="J117" s="88">
        <f t="shared" ref="J117:S117" si="34">IF(J$38 = "", J97, J97 * J$38)</f>
        <v>-1</v>
      </c>
      <c r="K117" s="88">
        <f t="shared" si="34"/>
        <v>-1</v>
      </c>
      <c r="L117" s="88">
        <f t="shared" si="34"/>
        <v>-1</v>
      </c>
      <c r="M117" s="88">
        <f t="shared" si="34"/>
        <v>-1</v>
      </c>
      <c r="N117" s="88">
        <f t="shared" si="34"/>
        <v>-1</v>
      </c>
      <c r="O117" s="88">
        <f t="shared" si="34"/>
        <v>-1</v>
      </c>
      <c r="P117" s="88">
        <f t="shared" si="34"/>
        <v>0</v>
      </c>
      <c r="Q117" s="88">
        <f t="shared" si="34"/>
        <v>-1</v>
      </c>
      <c r="R117" s="88">
        <f t="shared" si="34"/>
        <v>0</v>
      </c>
      <c r="S117" s="88">
        <f t="shared" si="34"/>
        <v>0</v>
      </c>
      <c r="T117" s="69"/>
      <c r="U117" s="69"/>
    </row>
    <row r="118" spans="3:23" x14ac:dyDescent="0.35">
      <c r="F118" t="s">
        <v>835</v>
      </c>
      <c r="G118" s="62" t="s">
        <v>176</v>
      </c>
      <c r="J118" s="88">
        <f t="shared" ref="J118:S118" si="35">IF(J$38 = "", J98, J98 * J$38)</f>
        <v>-1</v>
      </c>
      <c r="K118" s="88">
        <f t="shared" si="35"/>
        <v>-1</v>
      </c>
      <c r="L118" s="88">
        <f t="shared" si="35"/>
        <v>-1</v>
      </c>
      <c r="M118" s="88">
        <f t="shared" si="35"/>
        <v>-1</v>
      </c>
      <c r="N118" s="88">
        <f t="shared" si="35"/>
        <v>-1</v>
      </c>
      <c r="O118" s="88">
        <f t="shared" si="35"/>
        <v>-1</v>
      </c>
      <c r="P118" s="88">
        <f t="shared" si="35"/>
        <v>0</v>
      </c>
      <c r="Q118" s="88">
        <f t="shared" si="35"/>
        <v>0</v>
      </c>
      <c r="R118" s="88">
        <f t="shared" si="35"/>
        <v>0</v>
      </c>
      <c r="S118" s="88">
        <f t="shared" si="35"/>
        <v>0</v>
      </c>
      <c r="T118" s="69"/>
      <c r="U118" s="69"/>
    </row>
    <row r="119" spans="3:23" x14ac:dyDescent="0.35">
      <c r="F119" s="28" t="s">
        <v>840</v>
      </c>
      <c r="G119" s="70" t="s">
        <v>176</v>
      </c>
      <c r="H119" s="28"/>
      <c r="I119" s="28"/>
      <c r="J119" s="90">
        <f t="shared" ref="J119:S119" si="36">IF(J$38 = "", J99, J99 * J$38)</f>
        <v>-1</v>
      </c>
      <c r="K119" s="90">
        <f t="shared" si="36"/>
        <v>-1</v>
      </c>
      <c r="L119" s="90">
        <f t="shared" si="36"/>
        <v>-1</v>
      </c>
      <c r="M119" s="90">
        <f t="shared" si="36"/>
        <v>-1</v>
      </c>
      <c r="N119" s="90">
        <f t="shared" si="36"/>
        <v>-1</v>
      </c>
      <c r="O119" s="90">
        <f t="shared" si="36"/>
        <v>-1</v>
      </c>
      <c r="P119" s="90">
        <f t="shared" si="36"/>
        <v>0</v>
      </c>
      <c r="Q119" s="90">
        <f t="shared" si="36"/>
        <v>0</v>
      </c>
      <c r="R119" s="90">
        <f t="shared" si="36"/>
        <v>0</v>
      </c>
      <c r="S119" s="90">
        <f t="shared" si="36"/>
        <v>0</v>
      </c>
      <c r="T119" s="71"/>
      <c r="U119" s="71"/>
    </row>
    <row r="120" spans="3:23" x14ac:dyDescent="0.35">
      <c r="G120" s="12"/>
      <c r="J120" s="79"/>
      <c r="K120" s="79"/>
      <c r="L120" s="79"/>
      <c r="M120" s="79"/>
      <c r="N120" s="79"/>
      <c r="O120" s="79"/>
      <c r="P120" s="79"/>
      <c r="Q120" s="79"/>
      <c r="R120" s="79"/>
      <c r="S120" s="79"/>
      <c r="T120" s="79"/>
      <c r="U120" s="79"/>
    </row>
    <row r="121" spans="3:23" x14ac:dyDescent="0.35">
      <c r="C121" s="26" t="str">
        <f ca="1">INDEX('Version control'!$H$38:$H$61,MATCH($A$1,'Version control'!$F$38:$F$61,0),1)&amp;"-E: User loss factors"</f>
        <v>Section 102-E: User loss factors</v>
      </c>
      <c r="D121" s="26"/>
      <c r="E121" s="26"/>
      <c r="F121" s="26"/>
      <c r="G121" s="26"/>
      <c r="H121" s="26"/>
      <c r="I121" s="26"/>
      <c r="J121" s="80"/>
      <c r="K121" s="80"/>
      <c r="L121" s="80"/>
      <c r="M121" s="80"/>
      <c r="N121" s="80"/>
      <c r="O121" s="80"/>
      <c r="P121" s="80"/>
      <c r="Q121" s="80"/>
      <c r="R121" s="80"/>
      <c r="S121" s="80"/>
      <c r="T121" s="80"/>
      <c r="U121" s="80"/>
      <c r="V121" s="26"/>
      <c r="W121" s="26"/>
    </row>
    <row r="122" spans="3:23" x14ac:dyDescent="0.35">
      <c r="H122" s="3"/>
      <c r="I122" s="3"/>
      <c r="J122" s="117"/>
      <c r="K122" s="117"/>
      <c r="L122" s="117"/>
      <c r="M122" s="117"/>
      <c r="N122" s="117"/>
      <c r="O122" s="117"/>
      <c r="P122" s="117"/>
      <c r="Q122" s="117"/>
      <c r="R122" s="117"/>
      <c r="S122" s="117"/>
      <c r="T122" s="117"/>
      <c r="U122" s="117"/>
      <c r="W122" s="3"/>
    </row>
    <row r="123" spans="3:23" x14ac:dyDescent="0.35">
      <c r="E123" s="27" t="s">
        <v>403</v>
      </c>
      <c r="G123" s="12"/>
      <c r="J123" s="79"/>
      <c r="K123" s="79"/>
      <c r="L123" s="79"/>
      <c r="M123" s="79"/>
      <c r="N123" s="79"/>
      <c r="O123" s="79"/>
      <c r="P123" s="79"/>
      <c r="Q123" s="79"/>
      <c r="R123" s="79"/>
      <c r="S123" s="79"/>
      <c r="T123" s="79"/>
      <c r="U123" s="79"/>
      <c r="W123" s="3"/>
    </row>
    <row r="124" spans="3:23" x14ac:dyDescent="0.35">
      <c r="E124" s="24" t="s">
        <v>404</v>
      </c>
      <c r="G124" s="12"/>
      <c r="J124" s="79"/>
      <c r="K124" s="79"/>
      <c r="L124" s="79"/>
      <c r="M124" s="79"/>
      <c r="N124" s="79"/>
      <c r="O124" s="79"/>
      <c r="P124" s="79"/>
      <c r="Q124" s="79"/>
      <c r="R124" s="79"/>
      <c r="S124" s="79"/>
      <c r="T124" s="79"/>
      <c r="U124" s="79"/>
    </row>
    <row r="125" spans="3:23" x14ac:dyDescent="0.35">
      <c r="E125" s="24" t="s">
        <v>405</v>
      </c>
      <c r="G125" s="12"/>
      <c r="H125" s="118" t="s">
        <v>406</v>
      </c>
      <c r="J125" s="79"/>
      <c r="K125" s="79"/>
      <c r="L125" s="79"/>
      <c r="M125" s="79"/>
      <c r="N125" s="79"/>
      <c r="O125" s="79"/>
      <c r="P125" s="79"/>
      <c r="Q125" s="79"/>
      <c r="R125" s="79"/>
      <c r="S125" s="79"/>
      <c r="T125" s="79"/>
      <c r="U125" s="79"/>
    </row>
    <row r="126" spans="3:23" x14ac:dyDescent="0.35">
      <c r="F126" s="19" t="s">
        <v>827</v>
      </c>
      <c r="G126" s="68" t="s">
        <v>283</v>
      </c>
      <c r="H126" s="116">
        <f t="shared" ref="H126:H141" si="37">MAX(J126:S126)</f>
        <v>1.0900000000000001</v>
      </c>
      <c r="I126" s="19"/>
      <c r="J126" s="116">
        <f>OR(SUM(J65:$S65) = 1, SUM(J65:$S65) = -1) * J$29</f>
        <v>0</v>
      </c>
      <c r="K126" s="116">
        <f>OR(SUM(K65:$S65) = 1, SUM(K65:$S65) = -1) * K$29</f>
        <v>0</v>
      </c>
      <c r="L126" s="116">
        <f>OR(SUM(L65:$S65) = 1, SUM(L65:$S65) = -1) * L$29</f>
        <v>0</v>
      </c>
      <c r="M126" s="116">
        <f>OR(SUM(M65:$S65) = 1, SUM(M65:$S65) = -1) * M$29</f>
        <v>0</v>
      </c>
      <c r="N126" s="116">
        <f>OR(SUM(N65:$S65) = 1, SUM(N65:$S65) = -1) * N$29</f>
        <v>0</v>
      </c>
      <c r="O126" s="116">
        <f>OR(SUM(O65:$S65) = 1, SUM(O65:$S65) = -1) * O$29</f>
        <v>0</v>
      </c>
      <c r="P126" s="116">
        <f>OR(SUM(P65:$S65) = 1, SUM(P65:$S65) = -1) * P$29</f>
        <v>0</v>
      </c>
      <c r="Q126" s="116">
        <f>OR(SUM(Q65:$S65) = 1, SUM(Q65:$S65) = -1) * Q$29</f>
        <v>0</v>
      </c>
      <c r="R126" s="116">
        <f>OR(SUM(R65:$S65) = 1, SUM(R65:$S65) = -1) * R$29</f>
        <v>0</v>
      </c>
      <c r="S126" s="116">
        <f>OR(SUM(S65:$S65) = 1, SUM(S65:$S65) = -1) * S$29</f>
        <v>1.0900000000000001</v>
      </c>
      <c r="T126" s="73"/>
      <c r="U126" s="73"/>
      <c r="W126" s="3"/>
    </row>
    <row r="127" spans="3:23" x14ac:dyDescent="0.35">
      <c r="F127" t="s">
        <v>829</v>
      </c>
      <c r="G127" s="62" t="s">
        <v>283</v>
      </c>
      <c r="H127" s="88">
        <f t="shared" si="37"/>
        <v>1.0900000000000001</v>
      </c>
      <c r="J127" s="88">
        <f>OR(SUM(J66:$S66) = 1, SUM(J66:$S66) = -1) * J$29</f>
        <v>0</v>
      </c>
      <c r="K127" s="88">
        <f>OR(SUM(K66:$S66) = 1, SUM(K66:$S66) = -1) * K$29</f>
        <v>0</v>
      </c>
      <c r="L127" s="88">
        <f>OR(SUM(L66:$S66) = 1, SUM(L66:$S66) = -1) * L$29</f>
        <v>0</v>
      </c>
      <c r="M127" s="88">
        <f>OR(SUM(M66:$S66) = 1, SUM(M66:$S66) = -1) * M$29</f>
        <v>0</v>
      </c>
      <c r="N127" s="88">
        <f>OR(SUM(N66:$S66) = 1, SUM(N66:$S66) = -1) * N$29</f>
        <v>0</v>
      </c>
      <c r="O127" s="88">
        <f>OR(SUM(O66:$S66) = 1, SUM(O66:$S66) = -1) * O$29</f>
        <v>0</v>
      </c>
      <c r="P127" s="88">
        <f>OR(SUM(P66:$S66) = 1, SUM(P66:$S66) = -1) * P$29</f>
        <v>0</v>
      </c>
      <c r="Q127" s="88">
        <f>OR(SUM(Q66:$S66) = 1, SUM(Q66:$S66) = -1) * Q$29</f>
        <v>0</v>
      </c>
      <c r="R127" s="88">
        <f>OR(SUM(R66:$S66) = 1, SUM(R66:$S66) = -1) * R$29</f>
        <v>0</v>
      </c>
      <c r="S127" s="88">
        <f>OR(SUM(S66:$S66) = 1, SUM(S66:$S66) = -1) * S$29</f>
        <v>1.0900000000000001</v>
      </c>
      <c r="T127" s="69"/>
      <c r="U127" s="69"/>
      <c r="W127" s="3"/>
    </row>
    <row r="128" spans="3:23" x14ac:dyDescent="0.35">
      <c r="F128" t="s">
        <v>828</v>
      </c>
      <c r="G128" s="62" t="s">
        <v>283</v>
      </c>
      <c r="H128" s="88">
        <f t="shared" si="37"/>
        <v>1.0900000000000001</v>
      </c>
      <c r="J128" s="88">
        <f>OR(SUM(J67:$S67) = 1, SUM(J67:$S67) = -1) * J$29</f>
        <v>0</v>
      </c>
      <c r="K128" s="88">
        <f>OR(SUM(K67:$S67) = 1, SUM(K67:$S67) = -1) * K$29</f>
        <v>0</v>
      </c>
      <c r="L128" s="88">
        <f>OR(SUM(L67:$S67) = 1, SUM(L67:$S67) = -1) * L$29</f>
        <v>0</v>
      </c>
      <c r="M128" s="88">
        <f>OR(SUM(M67:$S67) = 1, SUM(M67:$S67) = -1) * M$29</f>
        <v>0</v>
      </c>
      <c r="N128" s="88">
        <f>OR(SUM(N67:$S67) = 1, SUM(N67:$S67) = -1) * N$29</f>
        <v>0</v>
      </c>
      <c r="O128" s="88">
        <f>OR(SUM(O67:$S67) = 1, SUM(O67:$S67) = -1) * O$29</f>
        <v>0</v>
      </c>
      <c r="P128" s="88">
        <f>OR(SUM(P67:$S67) = 1, SUM(P67:$S67) = -1) * P$29</f>
        <v>0</v>
      </c>
      <c r="Q128" s="88">
        <f>OR(SUM(Q67:$S67) = 1, SUM(Q67:$S67) = -1) * Q$29</f>
        <v>0</v>
      </c>
      <c r="R128" s="88">
        <f>OR(SUM(R67:$S67) = 1, SUM(R67:$S67) = -1) * R$29</f>
        <v>0</v>
      </c>
      <c r="S128" s="88">
        <f>OR(SUM(S67:$S67) = 1, SUM(S67:$S67) = -1) * S$29</f>
        <v>1.0900000000000001</v>
      </c>
      <c r="T128" s="69"/>
      <c r="U128" s="69"/>
      <c r="W128" s="3"/>
    </row>
    <row r="129" spans="5:23" x14ac:dyDescent="0.35">
      <c r="F129" t="s">
        <v>830</v>
      </c>
      <c r="G129" s="62" t="s">
        <v>283</v>
      </c>
      <c r="H129" s="88">
        <f t="shared" si="37"/>
        <v>1.0900000000000001</v>
      </c>
      <c r="J129" s="88">
        <f>OR(SUM(J68:$S68) = 1, SUM(J68:$S68) = -1) * J$29</f>
        <v>0</v>
      </c>
      <c r="K129" s="88">
        <f>OR(SUM(K68:$S68) = 1, SUM(K68:$S68) = -1) * K$29</f>
        <v>0</v>
      </c>
      <c r="L129" s="88">
        <f>OR(SUM(L68:$S68) = 1, SUM(L68:$S68) = -1) * L$29</f>
        <v>0</v>
      </c>
      <c r="M129" s="88">
        <f>OR(SUM(M68:$S68) = 1, SUM(M68:$S68) = -1) * M$29</f>
        <v>0</v>
      </c>
      <c r="N129" s="88">
        <f>OR(SUM(N68:$S68) = 1, SUM(N68:$S68) = -1) * N$29</f>
        <v>0</v>
      </c>
      <c r="O129" s="88">
        <f>OR(SUM(O68:$S68) = 1, SUM(O68:$S68) = -1) * O$29</f>
        <v>0</v>
      </c>
      <c r="P129" s="88">
        <f>OR(SUM(P68:$S68) = 1, SUM(P68:$S68) = -1) * P$29</f>
        <v>0</v>
      </c>
      <c r="Q129" s="88">
        <f>OR(SUM(Q68:$S68) = 1, SUM(Q68:$S68) = -1) * Q$29</f>
        <v>0</v>
      </c>
      <c r="R129" s="88">
        <f>OR(SUM(R68:$S68) = 1, SUM(R68:$S68) = -1) * R$29</f>
        <v>0</v>
      </c>
      <c r="S129" s="88">
        <f>OR(SUM(S68:$S68) = 1, SUM(S68:$S68) = -1) * S$29</f>
        <v>1.0900000000000001</v>
      </c>
      <c r="T129" s="69"/>
      <c r="U129" s="69"/>
    </row>
    <row r="130" spans="5:23" x14ac:dyDescent="0.35">
      <c r="F130" t="s">
        <v>836</v>
      </c>
      <c r="G130" s="62" t="s">
        <v>283</v>
      </c>
      <c r="H130" s="88">
        <f t="shared" si="37"/>
        <v>1.0900000000000001</v>
      </c>
      <c r="J130" s="88">
        <f>OR(SUM(J69:$S69) = 1, SUM(J69:$S69) = -1) * J$29</f>
        <v>0</v>
      </c>
      <c r="K130" s="88">
        <f>OR(SUM(K69:$S69) = 1, SUM(K69:$S69) = -1) * K$29</f>
        <v>0</v>
      </c>
      <c r="L130" s="88">
        <f>OR(SUM(L69:$S69) = 1, SUM(L69:$S69) = -1) * L$29</f>
        <v>0</v>
      </c>
      <c r="M130" s="88">
        <f>OR(SUM(M69:$S69) = 1, SUM(M69:$S69) = -1) * M$29</f>
        <v>0</v>
      </c>
      <c r="N130" s="88">
        <f>OR(SUM(N69:$S69) = 1, SUM(N69:$S69) = -1) * N$29</f>
        <v>0</v>
      </c>
      <c r="O130" s="88">
        <f>OR(SUM(O69:$S69) = 1, SUM(O69:$S69) = -1) * O$29</f>
        <v>0</v>
      </c>
      <c r="P130" s="88">
        <f>OR(SUM(P69:$S69) = 1, SUM(P69:$S69) = -1) * P$29</f>
        <v>0</v>
      </c>
      <c r="Q130" s="88">
        <f>OR(SUM(Q69:$S69) = 1, SUM(Q69:$S69) = -1) * Q$29</f>
        <v>0</v>
      </c>
      <c r="R130" s="88">
        <f>OR(SUM(R69:$S69) = 1, SUM(R69:$S69) = -1) * R$29</f>
        <v>0</v>
      </c>
      <c r="S130" s="88">
        <f>OR(SUM(S69:$S69) = 1, SUM(S69:$S69) = -1) * S$29</f>
        <v>1.0900000000000001</v>
      </c>
      <c r="T130" s="69"/>
      <c r="U130" s="69"/>
    </row>
    <row r="131" spans="5:23" x14ac:dyDescent="0.35">
      <c r="F131" t="s">
        <v>837</v>
      </c>
      <c r="G131" s="62" t="s">
        <v>283</v>
      </c>
      <c r="H131" s="88">
        <f t="shared" si="37"/>
        <v>1.0429999999999999</v>
      </c>
      <c r="J131" s="88">
        <f>OR(SUM(J70:$S70) = 1, SUM(J70:$S70) = -1) * J$29</f>
        <v>0</v>
      </c>
      <c r="K131" s="88">
        <f>OR(SUM(K70:$S70) = 1, SUM(K70:$S70) = -1) * K$29</f>
        <v>0</v>
      </c>
      <c r="L131" s="88">
        <f>OR(SUM(L70:$S70) = 1, SUM(L70:$S70) = -1) * L$29</f>
        <v>0</v>
      </c>
      <c r="M131" s="88">
        <f>OR(SUM(M70:$S70) = 1, SUM(M70:$S70) = -1) * M$29</f>
        <v>0</v>
      </c>
      <c r="N131" s="88">
        <f>OR(SUM(N70:$S70) = 1, SUM(N70:$S70) = -1) * N$29</f>
        <v>0</v>
      </c>
      <c r="O131" s="88">
        <f>OR(SUM(O70:$S70) = 1, SUM(O70:$S70) = -1) * O$29</f>
        <v>0</v>
      </c>
      <c r="P131" s="88">
        <f>OR(SUM(P70:$S70) = 1, SUM(P70:$S70) = -1) * P$29</f>
        <v>0</v>
      </c>
      <c r="Q131" s="88">
        <f>OR(SUM(Q70:$S70) = 1, SUM(Q70:$S70) = -1) * Q$29</f>
        <v>0</v>
      </c>
      <c r="R131" s="88">
        <f>OR(SUM(R70:$S70) = 1, SUM(R70:$S70) = -1) * R$29</f>
        <v>1.0429999999999999</v>
      </c>
      <c r="S131" s="88">
        <f>OR(SUM(S70:$S70) = 1, SUM(S70:$S70) = -1) * S$29</f>
        <v>0</v>
      </c>
      <c r="T131" s="69"/>
      <c r="U131" s="69"/>
    </row>
    <row r="132" spans="5:23" x14ac:dyDescent="0.35">
      <c r="F132" t="s">
        <v>838</v>
      </c>
      <c r="G132" s="62" t="s">
        <v>283</v>
      </c>
      <c r="H132" s="88">
        <f t="shared" si="37"/>
        <v>1.0269999999999999</v>
      </c>
      <c r="J132" s="88">
        <f>OR(SUM(J71:$S71) = 1, SUM(J71:$S71) = -1) * J$29</f>
        <v>0</v>
      </c>
      <c r="K132" s="88">
        <f>OR(SUM(K71:$S71) = 1, SUM(K71:$S71) = -1) * K$29</f>
        <v>0</v>
      </c>
      <c r="L132" s="88">
        <f>OR(SUM(L71:$S71) = 1, SUM(L71:$S71) = -1) * L$29</f>
        <v>0</v>
      </c>
      <c r="M132" s="88">
        <f>OR(SUM(M71:$S71) = 1, SUM(M71:$S71) = -1) * M$29</f>
        <v>0</v>
      </c>
      <c r="N132" s="88">
        <f>OR(SUM(N71:$S71) = 1, SUM(N71:$S71) = -1) * N$29</f>
        <v>0</v>
      </c>
      <c r="O132" s="88">
        <f>OR(SUM(O71:$S71) = 1, SUM(O71:$S71) = -1) * O$29</f>
        <v>0</v>
      </c>
      <c r="P132" s="88">
        <f>OR(SUM(P71:$S71) = 1, SUM(P71:$S71) = -1) * P$29</f>
        <v>1.018</v>
      </c>
      <c r="Q132" s="88">
        <f>OR(SUM(Q71:$S71) = 1, SUM(Q71:$S71) = -1) * Q$29</f>
        <v>1.0269999999999999</v>
      </c>
      <c r="R132" s="88">
        <f>OR(SUM(R71:$S71) = 1, SUM(R71:$S71) = -1) * R$29</f>
        <v>0</v>
      </c>
      <c r="S132" s="88">
        <f>OR(SUM(S71:$S71) = 1, SUM(S71:$S71) = -1) * S$29</f>
        <v>0</v>
      </c>
      <c r="T132" s="69"/>
      <c r="U132" s="69"/>
    </row>
    <row r="133" spans="5:23" x14ac:dyDescent="0.35">
      <c r="F133" t="s">
        <v>839</v>
      </c>
      <c r="G133" s="62" t="s">
        <v>283</v>
      </c>
      <c r="H133" s="88">
        <f t="shared" si="37"/>
        <v>1.0900000000000001</v>
      </c>
      <c r="J133" s="88">
        <f>OR(SUM(J72:$S72) = 1, SUM(J72:$S72) = -1) * J$29</f>
        <v>0</v>
      </c>
      <c r="K133" s="88">
        <f>OR(SUM(K72:$S72) = 1, SUM(K72:$S72) = -1) * K$29</f>
        <v>0</v>
      </c>
      <c r="L133" s="88">
        <f>OR(SUM(L72:$S72) = 1, SUM(L72:$S72) = -1) * L$29</f>
        <v>0</v>
      </c>
      <c r="M133" s="88">
        <f>OR(SUM(M72:$S72) = 1, SUM(M72:$S72) = -1) * M$29</f>
        <v>0</v>
      </c>
      <c r="N133" s="88">
        <f>OR(SUM(N72:$S72) = 1, SUM(N72:$S72) = -1) * N$29</f>
        <v>0</v>
      </c>
      <c r="O133" s="88">
        <f>OR(SUM(O72:$S72) = 1, SUM(O72:$S72) = -1) * O$29</f>
        <v>0</v>
      </c>
      <c r="P133" s="88">
        <f>OR(SUM(P72:$S72) = 1, SUM(P72:$S72) = -1) * P$29</f>
        <v>0</v>
      </c>
      <c r="Q133" s="88">
        <f>OR(SUM(Q72:$S72) = 1, SUM(Q72:$S72) = -1) * Q$29</f>
        <v>0</v>
      </c>
      <c r="R133" s="88">
        <f>OR(SUM(R72:$S72) = 1, SUM(R72:$S72) = -1) * R$29</f>
        <v>0</v>
      </c>
      <c r="S133" s="88">
        <f>OR(SUM(S72:$S72) = 1, SUM(S72:$S72) = -1) * S$29</f>
        <v>1.0900000000000001</v>
      </c>
      <c r="T133" s="69"/>
      <c r="U133" s="69"/>
    </row>
    <row r="134" spans="5:23" x14ac:dyDescent="0.35">
      <c r="F134" t="s">
        <v>831</v>
      </c>
      <c r="G134" s="62" t="s">
        <v>283</v>
      </c>
      <c r="H134" s="88">
        <f t="shared" si="37"/>
        <v>1.0900000000000001</v>
      </c>
      <c r="J134" s="88">
        <f>OR(SUM(J73:$S73) = 1, SUM(J73:$S73) = -1) * J$29</f>
        <v>0</v>
      </c>
      <c r="K134" s="88">
        <f>OR(SUM(K73:$S73) = 1, SUM(K73:$S73) = -1) * K$29</f>
        <v>0</v>
      </c>
      <c r="L134" s="88">
        <f>OR(SUM(L73:$S73) = 1, SUM(L73:$S73) = -1) * L$29</f>
        <v>0</v>
      </c>
      <c r="M134" s="88">
        <f>OR(SUM(M73:$S73) = 1, SUM(M73:$S73) = -1) * M$29</f>
        <v>0</v>
      </c>
      <c r="N134" s="88">
        <f>OR(SUM(N73:$S73) = 1, SUM(N73:$S73) = -1) * N$29</f>
        <v>0</v>
      </c>
      <c r="O134" s="88">
        <f>OR(SUM(O73:$S73) = 1, SUM(O73:$S73) = -1) * O$29</f>
        <v>0</v>
      </c>
      <c r="P134" s="88">
        <f>OR(SUM(P73:$S73) = 1, SUM(P73:$S73) = -1) * P$29</f>
        <v>0</v>
      </c>
      <c r="Q134" s="88">
        <f>OR(SUM(Q73:$S73) = 1, SUM(Q73:$S73) = -1) * Q$29</f>
        <v>0</v>
      </c>
      <c r="R134" s="88">
        <f>OR(SUM(R73:$S73) = 1, SUM(R73:$S73) = -1) * R$29</f>
        <v>0</v>
      </c>
      <c r="S134" s="88">
        <f>OR(SUM(S73:$S73) = 1, SUM(S73:$S73) = -1) * S$29</f>
        <v>1.0900000000000001</v>
      </c>
      <c r="T134" s="69"/>
      <c r="U134" s="69"/>
    </row>
    <row r="135" spans="5:23" x14ac:dyDescent="0.35">
      <c r="F135" t="s">
        <v>832</v>
      </c>
      <c r="G135" s="62" t="s">
        <v>283</v>
      </c>
      <c r="H135" s="88">
        <f t="shared" si="37"/>
        <v>1.0429999999999999</v>
      </c>
      <c r="J135" s="88">
        <f>OR(SUM(J74:$S74) = 1, SUM(J74:$S74) = -1) * J$29</f>
        <v>0</v>
      </c>
      <c r="K135" s="88">
        <f>OR(SUM(K74:$S74) = 1, SUM(K74:$S74) = -1) * K$29</f>
        <v>0</v>
      </c>
      <c r="L135" s="88">
        <f>OR(SUM(L74:$S74) = 1, SUM(L74:$S74) = -1) * L$29</f>
        <v>0</v>
      </c>
      <c r="M135" s="88">
        <f>OR(SUM(M74:$S74) = 1, SUM(M74:$S74) = -1) * M$29</f>
        <v>0</v>
      </c>
      <c r="N135" s="88">
        <f>OR(SUM(N74:$S74) = 1, SUM(N74:$S74) = -1) * N$29</f>
        <v>0</v>
      </c>
      <c r="O135" s="88">
        <f>OR(SUM(O74:$S74) = 1, SUM(O74:$S74) = -1) * O$29</f>
        <v>0</v>
      </c>
      <c r="P135" s="88">
        <f>OR(SUM(P74:$S74) = 1, SUM(P74:$S74) = -1) * P$29</f>
        <v>0</v>
      </c>
      <c r="Q135" s="88">
        <f>OR(SUM(Q74:$S74) = 1, SUM(Q74:$S74) = -1) * Q$29</f>
        <v>0</v>
      </c>
      <c r="R135" s="88">
        <f>OR(SUM(R74:$S74) = 1, SUM(R74:$S74) = -1) * R$29</f>
        <v>1.0429999999999999</v>
      </c>
      <c r="S135" s="88">
        <f>OR(SUM(S74:$S74) = 1, SUM(S74:$S74) = -1) * S$29</f>
        <v>0</v>
      </c>
      <c r="T135" s="69"/>
      <c r="U135" s="69"/>
    </row>
    <row r="136" spans="5:23" x14ac:dyDescent="0.35">
      <c r="F136" t="s">
        <v>833</v>
      </c>
      <c r="G136" s="62" t="s">
        <v>283</v>
      </c>
      <c r="H136" s="88">
        <f t="shared" si="37"/>
        <v>1.0900000000000001</v>
      </c>
      <c r="J136" s="88">
        <f>OR(SUM(J75:$S75) = 1, SUM(J75:$S75) = -1) * J$29</f>
        <v>0</v>
      </c>
      <c r="K136" s="88">
        <f>OR(SUM(K75:$S75) = 1, SUM(K75:$S75) = -1) * K$29</f>
        <v>0</v>
      </c>
      <c r="L136" s="88">
        <f>OR(SUM(L75:$S75) = 1, SUM(L75:$S75) = -1) * L$29</f>
        <v>0</v>
      </c>
      <c r="M136" s="88">
        <f>OR(SUM(M75:$S75) = 1, SUM(M75:$S75) = -1) * M$29</f>
        <v>0</v>
      </c>
      <c r="N136" s="88">
        <f>OR(SUM(N75:$S75) = 1, SUM(N75:$S75) = -1) * N$29</f>
        <v>0</v>
      </c>
      <c r="O136" s="88">
        <f>OR(SUM(O75:$S75) = 1, SUM(O75:$S75) = -1) * O$29</f>
        <v>0</v>
      </c>
      <c r="P136" s="88">
        <f>OR(SUM(P75:$S75) = 1, SUM(P75:$S75) = -1) * P$29</f>
        <v>0</v>
      </c>
      <c r="Q136" s="88">
        <f>OR(SUM(Q75:$S75) = 1, SUM(Q75:$S75) = -1) * Q$29</f>
        <v>0</v>
      </c>
      <c r="R136" s="88">
        <f>OR(SUM(R75:$S75) = 1, SUM(R75:$S75) = -1) * R$29</f>
        <v>0</v>
      </c>
      <c r="S136" s="88">
        <f>OR(SUM(S75:$S75) = 1, SUM(S75:$S75) = -1) * S$29</f>
        <v>1.0900000000000001</v>
      </c>
      <c r="T136" s="69"/>
      <c r="U136" s="69"/>
    </row>
    <row r="137" spans="5:23" x14ac:dyDescent="0.35">
      <c r="F137" t="s">
        <v>842</v>
      </c>
      <c r="G137" s="62" t="s">
        <v>283</v>
      </c>
      <c r="H137" s="88">
        <f t="shared" si="37"/>
        <v>1.0900000000000001</v>
      </c>
      <c r="J137" s="88">
        <f>OR(SUM(J76:$S76) = 1, SUM(J76:$S76) = -1) * J$29</f>
        <v>0</v>
      </c>
      <c r="K137" s="88">
        <f>OR(SUM(K76:$S76) = 1, SUM(K76:$S76) = -1) * K$29</f>
        <v>0</v>
      </c>
      <c r="L137" s="88">
        <f>OR(SUM(L76:$S76) = 1, SUM(L76:$S76) = -1) * L$29</f>
        <v>0</v>
      </c>
      <c r="M137" s="88">
        <f>OR(SUM(M76:$S76) = 1, SUM(M76:$S76) = -1) * M$29</f>
        <v>0</v>
      </c>
      <c r="N137" s="88">
        <f>OR(SUM(N76:$S76) = 1, SUM(N76:$S76) = -1) * N$29</f>
        <v>0</v>
      </c>
      <c r="O137" s="88">
        <f>OR(SUM(O76:$S76) = 1, SUM(O76:$S76) = -1) * O$29</f>
        <v>0</v>
      </c>
      <c r="P137" s="88">
        <f>OR(SUM(P76:$S76) = 1, SUM(P76:$S76) = -1) * P$29</f>
        <v>0</v>
      </c>
      <c r="Q137" s="88">
        <f>OR(SUM(Q76:$S76) = 1, SUM(Q76:$S76) = -1) * Q$29</f>
        <v>0</v>
      </c>
      <c r="R137" s="88">
        <f>OR(SUM(R76:$S76) = 1, SUM(R76:$S76) = -1) * R$29</f>
        <v>0</v>
      </c>
      <c r="S137" s="88">
        <f>OR(SUM(S76:$S76) = 1, SUM(S76:$S76) = -1) * S$29</f>
        <v>1.0900000000000001</v>
      </c>
      <c r="T137" s="69"/>
      <c r="U137" s="69"/>
    </row>
    <row r="138" spans="5:23" x14ac:dyDescent="0.35">
      <c r="F138" t="s">
        <v>834</v>
      </c>
      <c r="G138" s="62" t="s">
        <v>283</v>
      </c>
      <c r="H138" s="88">
        <f t="shared" si="37"/>
        <v>1.0429999999999999</v>
      </c>
      <c r="J138" s="88">
        <f>OR(SUM(J77:$S77) = 1, SUM(J77:$S77) = -1) * J$29</f>
        <v>0</v>
      </c>
      <c r="K138" s="88">
        <f>OR(SUM(K77:$S77) = 1, SUM(K77:$S77) = -1) * K$29</f>
        <v>0</v>
      </c>
      <c r="L138" s="88">
        <f>OR(SUM(L77:$S77) = 1, SUM(L77:$S77) = -1) * L$29</f>
        <v>0</v>
      </c>
      <c r="M138" s="88">
        <f>OR(SUM(M77:$S77) = 1, SUM(M77:$S77) = -1) * M$29</f>
        <v>0</v>
      </c>
      <c r="N138" s="88">
        <f>OR(SUM(N77:$S77) = 1, SUM(N77:$S77) = -1) * N$29</f>
        <v>0</v>
      </c>
      <c r="O138" s="88">
        <f>OR(SUM(O77:$S77) = 1, SUM(O77:$S77) = -1) * O$29</f>
        <v>0</v>
      </c>
      <c r="P138" s="88">
        <f>OR(SUM(P77:$S77) = 1, SUM(P77:$S77) = -1) * P$29</f>
        <v>0</v>
      </c>
      <c r="Q138" s="88">
        <f>OR(SUM(Q77:$S77) = 1, SUM(Q77:$S77) = -1) * Q$29</f>
        <v>0</v>
      </c>
      <c r="R138" s="88">
        <f>OR(SUM(R77:$S77) = 1, SUM(R77:$S77) = -1) * R$29</f>
        <v>1.0429999999999999</v>
      </c>
      <c r="S138" s="88">
        <f>OR(SUM(S77:$S77) = 1, SUM(S77:$S77) = -1) * S$29</f>
        <v>0</v>
      </c>
      <c r="T138" s="69"/>
      <c r="U138" s="69"/>
    </row>
    <row r="139" spans="5:23" x14ac:dyDescent="0.35">
      <c r="F139" t="s">
        <v>841</v>
      </c>
      <c r="G139" s="62" t="s">
        <v>283</v>
      </c>
      <c r="H139" s="88">
        <f t="shared" si="37"/>
        <v>1.0429999999999999</v>
      </c>
      <c r="J139" s="88">
        <f>OR(SUM(J78:$S78) = 1, SUM(J78:$S78) = -1) * J$29</f>
        <v>0</v>
      </c>
      <c r="K139" s="88">
        <f>OR(SUM(K78:$S78) = 1, SUM(K78:$S78) = -1) * K$29</f>
        <v>0</v>
      </c>
      <c r="L139" s="88">
        <f>OR(SUM(L78:$S78) = 1, SUM(L78:$S78) = -1) * L$29</f>
        <v>0</v>
      </c>
      <c r="M139" s="88">
        <f>OR(SUM(M78:$S78) = 1, SUM(M78:$S78) = -1) * M$29</f>
        <v>0</v>
      </c>
      <c r="N139" s="88">
        <f>OR(SUM(N78:$S78) = 1, SUM(N78:$S78) = -1) * N$29</f>
        <v>0</v>
      </c>
      <c r="O139" s="88">
        <f>OR(SUM(O78:$S78) = 1, SUM(O78:$S78) = -1) * O$29</f>
        <v>0</v>
      </c>
      <c r="P139" s="88">
        <f>OR(SUM(P78:$S78) = 1, SUM(P78:$S78) = -1) * P$29</f>
        <v>0</v>
      </c>
      <c r="Q139" s="88">
        <f>OR(SUM(Q78:$S78) = 1, SUM(Q78:$S78) = -1) * Q$29</f>
        <v>0</v>
      </c>
      <c r="R139" s="88">
        <f>OR(SUM(R78:$S78) = 1, SUM(R78:$S78) = -1) * R$29</f>
        <v>1.0429999999999999</v>
      </c>
      <c r="S139" s="88">
        <f>OR(SUM(S78:$S78) = 1, SUM(S78:$S78) = -1) * S$29</f>
        <v>0</v>
      </c>
      <c r="T139" s="69"/>
      <c r="U139" s="69"/>
    </row>
    <row r="140" spans="5:23" x14ac:dyDescent="0.35">
      <c r="F140" t="s">
        <v>835</v>
      </c>
      <c r="G140" s="62" t="s">
        <v>283</v>
      </c>
      <c r="H140" s="88">
        <f t="shared" si="37"/>
        <v>1.0269999999999999</v>
      </c>
      <c r="J140" s="88">
        <f>OR(SUM(J79:$S79) = 1, SUM(J79:$S79) = -1) * J$29</f>
        <v>0</v>
      </c>
      <c r="K140" s="88">
        <f>OR(SUM(K79:$S79) = 1, SUM(K79:$S79) = -1) * K$29</f>
        <v>0</v>
      </c>
      <c r="L140" s="88">
        <f>OR(SUM(L79:$S79) = 1, SUM(L79:$S79) = -1) * L$29</f>
        <v>0</v>
      </c>
      <c r="M140" s="88">
        <f>OR(SUM(M79:$S79) = 1, SUM(M79:$S79) = -1) * M$29</f>
        <v>0</v>
      </c>
      <c r="N140" s="88">
        <f>OR(SUM(N79:$S79) = 1, SUM(N79:$S79) = -1) * N$29</f>
        <v>0</v>
      </c>
      <c r="O140" s="88">
        <f>OR(SUM(O79:$S79) = 1, SUM(O79:$S79) = -1) * O$29</f>
        <v>0</v>
      </c>
      <c r="P140" s="88">
        <f>OR(SUM(P79:$S79) = 1, SUM(P79:$S79) = -1) * P$29</f>
        <v>1.018</v>
      </c>
      <c r="Q140" s="88">
        <f>OR(SUM(Q79:$S79) = 1, SUM(Q79:$S79) = -1) * Q$29</f>
        <v>1.0269999999999999</v>
      </c>
      <c r="R140" s="88">
        <f>OR(SUM(R79:$S79) = 1, SUM(R79:$S79) = -1) * R$29</f>
        <v>0</v>
      </c>
      <c r="S140" s="88">
        <f>OR(SUM(S79:$S79) = 1, SUM(S79:$S79) = -1) * S$29</f>
        <v>0</v>
      </c>
      <c r="T140" s="69"/>
      <c r="U140" s="69"/>
    </row>
    <row r="141" spans="5:23" x14ac:dyDescent="0.35">
      <c r="F141" s="28" t="s">
        <v>840</v>
      </c>
      <c r="G141" s="70" t="s">
        <v>283</v>
      </c>
      <c r="H141" s="90">
        <f t="shared" si="37"/>
        <v>1.0269999999999999</v>
      </c>
      <c r="I141" s="28"/>
      <c r="J141" s="90">
        <f>OR(SUM(J80:$S80) = 1, SUM(J80:$S80) = -1) * J$29</f>
        <v>0</v>
      </c>
      <c r="K141" s="90">
        <f>OR(SUM(K80:$S80) = 1, SUM(K80:$S80) = -1) * K$29</f>
        <v>0</v>
      </c>
      <c r="L141" s="90">
        <f>OR(SUM(L80:$S80) = 1, SUM(L80:$S80) = -1) * L$29</f>
        <v>0</v>
      </c>
      <c r="M141" s="90">
        <f>OR(SUM(M80:$S80) = 1, SUM(M80:$S80) = -1) * M$29</f>
        <v>0</v>
      </c>
      <c r="N141" s="90">
        <f>OR(SUM(N80:$S80) = 1, SUM(N80:$S80) = -1) * N$29</f>
        <v>0</v>
      </c>
      <c r="O141" s="90">
        <f>OR(SUM(O80:$S80) = 1, SUM(O80:$S80) = -1) * O$29</f>
        <v>0</v>
      </c>
      <c r="P141" s="90">
        <f>OR(SUM(P80:$S80) = 1, SUM(P80:$S80) = -1) * P$29</f>
        <v>1.018</v>
      </c>
      <c r="Q141" s="90">
        <f>OR(SUM(Q80:$S80) = 1, SUM(Q80:$S80) = -1) * Q$29</f>
        <v>1.0269999999999999</v>
      </c>
      <c r="R141" s="90">
        <f>OR(SUM(R80:$S80) = 1, SUM(R80:$S80) = -1) * R$29</f>
        <v>0</v>
      </c>
      <c r="S141" s="90">
        <f>OR(SUM(S80:$S80) = 1, SUM(S80:$S80) = -1) * S$29</f>
        <v>0</v>
      </c>
      <c r="T141" s="71"/>
      <c r="U141" s="71"/>
    </row>
    <row r="142" spans="5:23" x14ac:dyDescent="0.35">
      <c r="G142" s="12"/>
    </row>
    <row r="143" spans="5:23" x14ac:dyDescent="0.35">
      <c r="E143" s="27" t="s">
        <v>407</v>
      </c>
      <c r="G143" s="12"/>
      <c r="I143" t="s">
        <v>154</v>
      </c>
      <c r="W143" s="3" t="s">
        <v>408</v>
      </c>
    </row>
    <row r="144" spans="5:23" x14ac:dyDescent="0.35">
      <c r="E144" s="24" t="s">
        <v>400</v>
      </c>
      <c r="G144" s="12"/>
    </row>
    <row r="145" spans="6:23" x14ac:dyDescent="0.35">
      <c r="F145" s="19" t="s">
        <v>827</v>
      </c>
      <c r="G145" s="68" t="s">
        <v>283</v>
      </c>
      <c r="H145" s="119"/>
      <c r="I145" s="19"/>
      <c r="J145" s="91">
        <f t="shared" ref="J145:S145" si="38">$H126 * J104</f>
        <v>1.0900000000000001</v>
      </c>
      <c r="K145" s="91">
        <f t="shared" si="38"/>
        <v>1.0900000000000001</v>
      </c>
      <c r="L145" s="91">
        <f t="shared" si="38"/>
        <v>1.0900000000000001</v>
      </c>
      <c r="M145" s="91">
        <f t="shared" si="38"/>
        <v>1.0900000000000001</v>
      </c>
      <c r="N145" s="91">
        <f t="shared" si="38"/>
        <v>1.0900000000000001</v>
      </c>
      <c r="O145" s="91">
        <f t="shared" si="38"/>
        <v>1.0900000000000001</v>
      </c>
      <c r="P145" s="91">
        <f t="shared" si="38"/>
        <v>0</v>
      </c>
      <c r="Q145" s="91">
        <f t="shared" si="38"/>
        <v>1.0900000000000001</v>
      </c>
      <c r="R145" s="91">
        <f t="shared" si="38"/>
        <v>1.0900000000000001</v>
      </c>
      <c r="S145" s="91">
        <f t="shared" si="38"/>
        <v>1.0900000000000001</v>
      </c>
      <c r="T145" s="73"/>
      <c r="U145" s="73"/>
    </row>
    <row r="146" spans="6:23" x14ac:dyDescent="0.35">
      <c r="F146" t="s">
        <v>829</v>
      </c>
      <c r="G146" s="62" t="s">
        <v>283</v>
      </c>
      <c r="H146" s="53"/>
      <c r="J146" s="111">
        <f t="shared" ref="J146:S146" si="39">$H127 * J105</f>
        <v>1.0900000000000001</v>
      </c>
      <c r="K146" s="111">
        <f t="shared" si="39"/>
        <v>1.0900000000000001</v>
      </c>
      <c r="L146" s="111">
        <f t="shared" si="39"/>
        <v>1.0900000000000001</v>
      </c>
      <c r="M146" s="111">
        <f t="shared" si="39"/>
        <v>1.0900000000000001</v>
      </c>
      <c r="N146" s="111">
        <f t="shared" si="39"/>
        <v>1.0900000000000001</v>
      </c>
      <c r="O146" s="111">
        <f t="shared" si="39"/>
        <v>1.0900000000000001</v>
      </c>
      <c r="P146" s="111">
        <f t="shared" si="39"/>
        <v>0</v>
      </c>
      <c r="Q146" s="111">
        <f t="shared" si="39"/>
        <v>1.0900000000000001</v>
      </c>
      <c r="R146" s="111">
        <f t="shared" si="39"/>
        <v>1.0900000000000001</v>
      </c>
      <c r="S146" s="111">
        <f t="shared" si="39"/>
        <v>1.0900000000000001</v>
      </c>
      <c r="T146" s="69"/>
      <c r="U146" s="69"/>
      <c r="W146" s="3"/>
    </row>
    <row r="147" spans="6:23" x14ac:dyDescent="0.35">
      <c r="F147" t="s">
        <v>828</v>
      </c>
      <c r="G147" s="62" t="s">
        <v>283</v>
      </c>
      <c r="H147" s="53"/>
      <c r="J147" s="111">
        <f t="shared" ref="J147:S147" si="40">$H128 * J106</f>
        <v>1.0900000000000001</v>
      </c>
      <c r="K147" s="111">
        <f t="shared" si="40"/>
        <v>1.0900000000000001</v>
      </c>
      <c r="L147" s="111">
        <f t="shared" si="40"/>
        <v>1.0900000000000001</v>
      </c>
      <c r="M147" s="111">
        <f t="shared" si="40"/>
        <v>1.0900000000000001</v>
      </c>
      <c r="N147" s="111">
        <f t="shared" si="40"/>
        <v>1.0900000000000001</v>
      </c>
      <c r="O147" s="111">
        <f t="shared" si="40"/>
        <v>1.0900000000000001</v>
      </c>
      <c r="P147" s="111">
        <f t="shared" si="40"/>
        <v>0</v>
      </c>
      <c r="Q147" s="111">
        <f t="shared" si="40"/>
        <v>1.0900000000000001</v>
      </c>
      <c r="R147" s="111">
        <f t="shared" si="40"/>
        <v>1.0900000000000001</v>
      </c>
      <c r="S147" s="111">
        <f t="shared" si="40"/>
        <v>1.0900000000000001</v>
      </c>
      <c r="T147" s="69"/>
      <c r="U147" s="69"/>
      <c r="W147" s="3"/>
    </row>
    <row r="148" spans="6:23" x14ac:dyDescent="0.35">
      <c r="F148" t="s">
        <v>830</v>
      </c>
      <c r="G148" s="62" t="s">
        <v>283</v>
      </c>
      <c r="H148" s="53"/>
      <c r="J148" s="111">
        <f t="shared" ref="J148:S148" si="41">$H129 * J107</f>
        <v>1.0900000000000001</v>
      </c>
      <c r="K148" s="111">
        <f t="shared" si="41"/>
        <v>1.0900000000000001</v>
      </c>
      <c r="L148" s="111">
        <f t="shared" si="41"/>
        <v>1.0900000000000001</v>
      </c>
      <c r="M148" s="111">
        <f t="shared" si="41"/>
        <v>1.0900000000000001</v>
      </c>
      <c r="N148" s="111">
        <f t="shared" si="41"/>
        <v>1.0900000000000001</v>
      </c>
      <c r="O148" s="111">
        <f t="shared" si="41"/>
        <v>1.0900000000000001</v>
      </c>
      <c r="P148" s="111">
        <f t="shared" si="41"/>
        <v>0</v>
      </c>
      <c r="Q148" s="111">
        <f t="shared" si="41"/>
        <v>1.0900000000000001</v>
      </c>
      <c r="R148" s="111">
        <f t="shared" si="41"/>
        <v>1.0900000000000001</v>
      </c>
      <c r="S148" s="111">
        <f t="shared" si="41"/>
        <v>1.0900000000000001</v>
      </c>
      <c r="T148" s="69"/>
      <c r="U148" s="69"/>
    </row>
    <row r="149" spans="6:23" x14ac:dyDescent="0.35">
      <c r="F149" t="s">
        <v>836</v>
      </c>
      <c r="G149" s="62" t="s">
        <v>283</v>
      </c>
      <c r="H149" s="53"/>
      <c r="J149" s="111">
        <f t="shared" ref="J149:S149" si="42">$H130 * J108</f>
        <v>1.0900000000000001</v>
      </c>
      <c r="K149" s="111">
        <f t="shared" si="42"/>
        <v>1.0900000000000001</v>
      </c>
      <c r="L149" s="111">
        <f t="shared" si="42"/>
        <v>1.0900000000000001</v>
      </c>
      <c r="M149" s="111">
        <f t="shared" si="42"/>
        <v>1.0900000000000001</v>
      </c>
      <c r="N149" s="111">
        <f t="shared" si="42"/>
        <v>1.0900000000000001</v>
      </c>
      <c r="O149" s="111">
        <f t="shared" si="42"/>
        <v>1.0900000000000001</v>
      </c>
      <c r="P149" s="111">
        <f t="shared" si="42"/>
        <v>0</v>
      </c>
      <c r="Q149" s="111">
        <f t="shared" si="42"/>
        <v>1.0900000000000001</v>
      </c>
      <c r="R149" s="111">
        <f t="shared" si="42"/>
        <v>1.0900000000000001</v>
      </c>
      <c r="S149" s="111">
        <f t="shared" si="42"/>
        <v>1.0900000000000001</v>
      </c>
      <c r="T149" s="69"/>
      <c r="U149" s="69"/>
    </row>
    <row r="150" spans="6:23" x14ac:dyDescent="0.35">
      <c r="F150" t="s">
        <v>837</v>
      </c>
      <c r="G150" s="62" t="s">
        <v>283</v>
      </c>
      <c r="H150" s="53"/>
      <c r="J150" s="111">
        <f t="shared" ref="J150:S150" si="43">$H131 * J109</f>
        <v>1.0429999999999999</v>
      </c>
      <c r="K150" s="111">
        <f t="shared" si="43"/>
        <v>1.0429999999999999</v>
      </c>
      <c r="L150" s="111">
        <f t="shared" si="43"/>
        <v>1.0429999999999999</v>
      </c>
      <c r="M150" s="111">
        <f t="shared" si="43"/>
        <v>1.0429999999999999</v>
      </c>
      <c r="N150" s="111">
        <f t="shared" si="43"/>
        <v>1.0429999999999999</v>
      </c>
      <c r="O150" s="111">
        <f t="shared" si="43"/>
        <v>1.0429999999999999</v>
      </c>
      <c r="P150" s="111">
        <f t="shared" si="43"/>
        <v>0</v>
      </c>
      <c r="Q150" s="111">
        <f t="shared" si="43"/>
        <v>1.0429999999999999</v>
      </c>
      <c r="R150" s="111">
        <f t="shared" si="43"/>
        <v>1.0429999999999999</v>
      </c>
      <c r="S150" s="111">
        <f t="shared" si="43"/>
        <v>0</v>
      </c>
      <c r="T150" s="69"/>
      <c r="U150" s="69"/>
    </row>
    <row r="151" spans="6:23" x14ac:dyDescent="0.35">
      <c r="F151" t="s">
        <v>838</v>
      </c>
      <c r="G151" s="62" t="s">
        <v>283</v>
      </c>
      <c r="H151" s="53"/>
      <c r="J151" s="111">
        <f t="shared" ref="J151:S151" si="44">$H132 * J110</f>
        <v>1.0269999999999999</v>
      </c>
      <c r="K151" s="111">
        <f t="shared" si="44"/>
        <v>1.0269999999999999</v>
      </c>
      <c r="L151" s="111">
        <f t="shared" si="44"/>
        <v>1.0269999999999999</v>
      </c>
      <c r="M151" s="111">
        <f t="shared" si="44"/>
        <v>1.0269999999999999</v>
      </c>
      <c r="N151" s="111">
        <f t="shared" si="44"/>
        <v>1.0269999999999999</v>
      </c>
      <c r="O151" s="111">
        <f t="shared" si="44"/>
        <v>1.0269999999999999</v>
      </c>
      <c r="P151" s="111">
        <f t="shared" si="44"/>
        <v>0</v>
      </c>
      <c r="Q151" s="111">
        <f t="shared" si="44"/>
        <v>1.0269999999999999</v>
      </c>
      <c r="R151" s="111">
        <f t="shared" si="44"/>
        <v>0</v>
      </c>
      <c r="S151" s="111">
        <f t="shared" si="44"/>
        <v>0</v>
      </c>
      <c r="T151" s="69"/>
      <c r="U151" s="69"/>
    </row>
    <row r="152" spans="6:23" x14ac:dyDescent="0.35">
      <c r="F152" t="s">
        <v>839</v>
      </c>
      <c r="G152" s="62" t="s">
        <v>283</v>
      </c>
      <c r="H152" s="53"/>
      <c r="J152" s="111">
        <f t="shared" ref="J152:S152" si="45">$H133 * J111</f>
        <v>1.0900000000000001</v>
      </c>
      <c r="K152" s="111">
        <f t="shared" si="45"/>
        <v>1.0900000000000001</v>
      </c>
      <c r="L152" s="111">
        <f t="shared" si="45"/>
        <v>1.0900000000000001</v>
      </c>
      <c r="M152" s="111">
        <f t="shared" si="45"/>
        <v>1.0900000000000001</v>
      </c>
      <c r="N152" s="111">
        <f t="shared" si="45"/>
        <v>1.0900000000000001</v>
      </c>
      <c r="O152" s="111">
        <f t="shared" si="45"/>
        <v>1.0900000000000001</v>
      </c>
      <c r="P152" s="111">
        <f t="shared" si="45"/>
        <v>0</v>
      </c>
      <c r="Q152" s="111">
        <f t="shared" si="45"/>
        <v>1.0900000000000001</v>
      </c>
      <c r="R152" s="111">
        <f t="shared" si="45"/>
        <v>1.0900000000000001</v>
      </c>
      <c r="S152" s="111">
        <f t="shared" si="45"/>
        <v>1.0900000000000001</v>
      </c>
      <c r="T152" s="69"/>
      <c r="U152" s="69"/>
    </row>
    <row r="153" spans="6:23" x14ac:dyDescent="0.35">
      <c r="F153" t="s">
        <v>831</v>
      </c>
      <c r="G153" s="62" t="s">
        <v>283</v>
      </c>
      <c r="H153" s="53"/>
      <c r="J153" s="111">
        <f t="shared" ref="J153:S153" si="46">$H134 * J112</f>
        <v>-1.0900000000000001</v>
      </c>
      <c r="K153" s="111">
        <f t="shared" si="46"/>
        <v>-1.0900000000000001</v>
      </c>
      <c r="L153" s="111">
        <f t="shared" si="46"/>
        <v>-1.0900000000000001</v>
      </c>
      <c r="M153" s="111">
        <f t="shared" si="46"/>
        <v>-1.0900000000000001</v>
      </c>
      <c r="N153" s="111">
        <f t="shared" si="46"/>
        <v>-1.0900000000000001</v>
      </c>
      <c r="O153" s="111">
        <f t="shared" si="46"/>
        <v>-1.0900000000000001</v>
      </c>
      <c r="P153" s="111">
        <f t="shared" si="46"/>
        <v>0</v>
      </c>
      <c r="Q153" s="111">
        <f t="shared" si="46"/>
        <v>-1.0900000000000001</v>
      </c>
      <c r="R153" s="111">
        <f t="shared" si="46"/>
        <v>-1.0900000000000001</v>
      </c>
      <c r="S153" s="111">
        <f t="shared" si="46"/>
        <v>0</v>
      </c>
      <c r="T153" s="69"/>
      <c r="U153" s="69"/>
    </row>
    <row r="154" spans="6:23" x14ac:dyDescent="0.35">
      <c r="F154" t="s">
        <v>832</v>
      </c>
      <c r="G154" s="62" t="s">
        <v>283</v>
      </c>
      <c r="H154" s="53"/>
      <c r="J154" s="111">
        <f t="shared" ref="J154:S154" si="47">$H135 * J113</f>
        <v>-1.0429999999999999</v>
      </c>
      <c r="K154" s="111">
        <f t="shared" si="47"/>
        <v>-1.0429999999999999</v>
      </c>
      <c r="L154" s="111">
        <f t="shared" si="47"/>
        <v>-1.0429999999999999</v>
      </c>
      <c r="M154" s="111">
        <f t="shared" si="47"/>
        <v>-1.0429999999999999</v>
      </c>
      <c r="N154" s="111">
        <f t="shared" si="47"/>
        <v>-1.0429999999999999</v>
      </c>
      <c r="O154" s="111">
        <f t="shared" si="47"/>
        <v>-1.0429999999999999</v>
      </c>
      <c r="P154" s="111">
        <f t="shared" si="47"/>
        <v>0</v>
      </c>
      <c r="Q154" s="111">
        <f t="shared" si="47"/>
        <v>-1.0429999999999999</v>
      </c>
      <c r="R154" s="111">
        <f t="shared" si="47"/>
        <v>0</v>
      </c>
      <c r="S154" s="111">
        <f t="shared" si="47"/>
        <v>0</v>
      </c>
      <c r="T154" s="69"/>
      <c r="U154" s="69"/>
    </row>
    <row r="155" spans="6:23" x14ac:dyDescent="0.35">
      <c r="F155" t="s">
        <v>833</v>
      </c>
      <c r="G155" s="62" t="s">
        <v>283</v>
      </c>
      <c r="H155" s="53"/>
      <c r="J155" s="111">
        <f t="shared" ref="J155:S155" si="48">$H136 * J114</f>
        <v>-1.0900000000000001</v>
      </c>
      <c r="K155" s="111">
        <f t="shared" si="48"/>
        <v>-1.0900000000000001</v>
      </c>
      <c r="L155" s="111">
        <f t="shared" si="48"/>
        <v>-1.0900000000000001</v>
      </c>
      <c r="M155" s="111">
        <f t="shared" si="48"/>
        <v>-1.0900000000000001</v>
      </c>
      <c r="N155" s="111">
        <f t="shared" si="48"/>
        <v>-1.0900000000000001</v>
      </c>
      <c r="O155" s="111">
        <f t="shared" si="48"/>
        <v>-1.0900000000000001</v>
      </c>
      <c r="P155" s="111">
        <f t="shared" si="48"/>
        <v>0</v>
      </c>
      <c r="Q155" s="111">
        <f t="shared" si="48"/>
        <v>-1.0900000000000001</v>
      </c>
      <c r="R155" s="111">
        <f t="shared" si="48"/>
        <v>-1.0900000000000001</v>
      </c>
      <c r="S155" s="111">
        <f t="shared" si="48"/>
        <v>0</v>
      </c>
      <c r="T155" s="69"/>
      <c r="U155" s="69"/>
    </row>
    <row r="156" spans="6:23" x14ac:dyDescent="0.35">
      <c r="F156" t="s">
        <v>842</v>
      </c>
      <c r="G156" s="62" t="s">
        <v>283</v>
      </c>
      <c r="H156" s="53"/>
      <c r="J156" s="111">
        <f t="shared" ref="J156:S156" si="49">$H137 * J115</f>
        <v>-1.0900000000000001</v>
      </c>
      <c r="K156" s="111">
        <f t="shared" si="49"/>
        <v>-1.0900000000000001</v>
      </c>
      <c r="L156" s="111">
        <f t="shared" si="49"/>
        <v>-1.0900000000000001</v>
      </c>
      <c r="M156" s="111">
        <f t="shared" si="49"/>
        <v>-1.0900000000000001</v>
      </c>
      <c r="N156" s="111">
        <f t="shared" si="49"/>
        <v>-1.0900000000000001</v>
      </c>
      <c r="O156" s="111">
        <f t="shared" si="49"/>
        <v>-1.0900000000000001</v>
      </c>
      <c r="P156" s="111">
        <f t="shared" si="49"/>
        <v>0</v>
      </c>
      <c r="Q156" s="111">
        <f t="shared" si="49"/>
        <v>-1.0900000000000001</v>
      </c>
      <c r="R156" s="111">
        <f t="shared" si="49"/>
        <v>-1.0900000000000001</v>
      </c>
      <c r="S156" s="111">
        <f t="shared" si="49"/>
        <v>0</v>
      </c>
      <c r="T156" s="69"/>
      <c r="U156" s="69"/>
    </row>
    <row r="157" spans="6:23" x14ac:dyDescent="0.35">
      <c r="F157" t="s">
        <v>834</v>
      </c>
      <c r="G157" s="62" t="s">
        <v>283</v>
      </c>
      <c r="H157" s="53"/>
      <c r="J157" s="111">
        <f t="shared" ref="J157:S157" si="50">$H138 * J116</f>
        <v>-1.0429999999999999</v>
      </c>
      <c r="K157" s="111">
        <f t="shared" si="50"/>
        <v>-1.0429999999999999</v>
      </c>
      <c r="L157" s="111">
        <f t="shared" si="50"/>
        <v>-1.0429999999999999</v>
      </c>
      <c r="M157" s="111">
        <f t="shared" si="50"/>
        <v>-1.0429999999999999</v>
      </c>
      <c r="N157" s="111">
        <f t="shared" si="50"/>
        <v>-1.0429999999999999</v>
      </c>
      <c r="O157" s="111">
        <f t="shared" si="50"/>
        <v>-1.0429999999999999</v>
      </c>
      <c r="P157" s="111">
        <f t="shared" si="50"/>
        <v>0</v>
      </c>
      <c r="Q157" s="111">
        <f t="shared" si="50"/>
        <v>-1.0429999999999999</v>
      </c>
      <c r="R157" s="111">
        <f t="shared" si="50"/>
        <v>0</v>
      </c>
      <c r="S157" s="111">
        <f t="shared" si="50"/>
        <v>0</v>
      </c>
      <c r="T157" s="69"/>
      <c r="U157" s="69"/>
    </row>
    <row r="158" spans="6:23" x14ac:dyDescent="0.35">
      <c r="F158" t="s">
        <v>841</v>
      </c>
      <c r="G158" s="62" t="s">
        <v>283</v>
      </c>
      <c r="H158" s="53"/>
      <c r="J158" s="111">
        <f t="shared" ref="J158:S158" si="51">$H139 * J117</f>
        <v>-1.0429999999999999</v>
      </c>
      <c r="K158" s="111">
        <f t="shared" si="51"/>
        <v>-1.0429999999999999</v>
      </c>
      <c r="L158" s="111">
        <f t="shared" si="51"/>
        <v>-1.0429999999999999</v>
      </c>
      <c r="M158" s="111">
        <f t="shared" si="51"/>
        <v>-1.0429999999999999</v>
      </c>
      <c r="N158" s="111">
        <f t="shared" si="51"/>
        <v>-1.0429999999999999</v>
      </c>
      <c r="O158" s="111">
        <f t="shared" si="51"/>
        <v>-1.0429999999999999</v>
      </c>
      <c r="P158" s="111">
        <f t="shared" si="51"/>
        <v>0</v>
      </c>
      <c r="Q158" s="111">
        <f t="shared" si="51"/>
        <v>-1.0429999999999999</v>
      </c>
      <c r="R158" s="111">
        <f t="shared" si="51"/>
        <v>0</v>
      </c>
      <c r="S158" s="111">
        <f t="shared" si="51"/>
        <v>0</v>
      </c>
      <c r="T158" s="69"/>
      <c r="U158" s="69"/>
    </row>
    <row r="159" spans="6:23" x14ac:dyDescent="0.35">
      <c r="F159" t="s">
        <v>835</v>
      </c>
      <c r="G159" s="62" t="s">
        <v>283</v>
      </c>
      <c r="H159" s="53"/>
      <c r="J159" s="111">
        <f t="shared" ref="J159:S159" si="52">$H140 * J118</f>
        <v>-1.0269999999999999</v>
      </c>
      <c r="K159" s="111">
        <f t="shared" si="52"/>
        <v>-1.0269999999999999</v>
      </c>
      <c r="L159" s="111">
        <f t="shared" si="52"/>
        <v>-1.0269999999999999</v>
      </c>
      <c r="M159" s="111">
        <f t="shared" si="52"/>
        <v>-1.0269999999999999</v>
      </c>
      <c r="N159" s="111">
        <f t="shared" si="52"/>
        <v>-1.0269999999999999</v>
      </c>
      <c r="O159" s="111">
        <f t="shared" si="52"/>
        <v>-1.0269999999999999</v>
      </c>
      <c r="P159" s="111">
        <f t="shared" si="52"/>
        <v>0</v>
      </c>
      <c r="Q159" s="111">
        <f t="shared" si="52"/>
        <v>0</v>
      </c>
      <c r="R159" s="111">
        <f t="shared" si="52"/>
        <v>0</v>
      </c>
      <c r="S159" s="111">
        <f t="shared" si="52"/>
        <v>0</v>
      </c>
      <c r="T159" s="69"/>
      <c r="U159" s="69"/>
    </row>
    <row r="160" spans="6:23" x14ac:dyDescent="0.35">
      <c r="F160" s="28" t="s">
        <v>840</v>
      </c>
      <c r="G160" s="70" t="s">
        <v>283</v>
      </c>
      <c r="H160" s="120"/>
      <c r="I160" s="28"/>
      <c r="J160" s="121">
        <f t="shared" ref="J160:S160" si="53">$H141 * J119</f>
        <v>-1.0269999999999999</v>
      </c>
      <c r="K160" s="121">
        <f t="shared" si="53"/>
        <v>-1.0269999999999999</v>
      </c>
      <c r="L160" s="121">
        <f t="shared" si="53"/>
        <v>-1.0269999999999999</v>
      </c>
      <c r="M160" s="121">
        <f t="shared" si="53"/>
        <v>-1.0269999999999999</v>
      </c>
      <c r="N160" s="121">
        <f t="shared" si="53"/>
        <v>-1.0269999999999999</v>
      </c>
      <c r="O160" s="121">
        <f t="shared" si="53"/>
        <v>-1.0269999999999999</v>
      </c>
      <c r="P160" s="121">
        <f t="shared" si="53"/>
        <v>0</v>
      </c>
      <c r="Q160" s="121">
        <f t="shared" si="53"/>
        <v>0</v>
      </c>
      <c r="R160" s="121">
        <f t="shared" si="53"/>
        <v>0</v>
      </c>
      <c r="S160" s="121">
        <f t="shared" si="53"/>
        <v>0</v>
      </c>
      <c r="T160" s="71"/>
      <c r="U160" s="71"/>
    </row>
    <row r="161" spans="5:23" x14ac:dyDescent="0.35">
      <c r="G161" s="12"/>
      <c r="J161" s="79"/>
      <c r="K161" s="79"/>
      <c r="L161" s="79"/>
      <c r="M161" s="79"/>
      <c r="N161" s="79"/>
      <c r="O161" s="79"/>
      <c r="P161" s="79"/>
      <c r="Q161" s="79"/>
      <c r="R161" s="79"/>
      <c r="S161" s="79"/>
      <c r="T161" s="79"/>
      <c r="U161" s="79"/>
    </row>
    <row r="162" spans="5:23" x14ac:dyDescent="0.35">
      <c r="E162" s="27" t="s">
        <v>403</v>
      </c>
      <c r="G162" s="12"/>
      <c r="I162" t="s">
        <v>154</v>
      </c>
      <c r="J162" s="79"/>
      <c r="K162" s="79"/>
      <c r="L162" s="79"/>
      <c r="M162" s="79"/>
      <c r="N162" s="79"/>
      <c r="O162" s="79"/>
      <c r="P162" s="79"/>
      <c r="Q162" s="79"/>
      <c r="R162" s="79"/>
      <c r="S162" s="79"/>
      <c r="T162" s="79"/>
      <c r="U162" s="79"/>
      <c r="W162" s="3" t="s">
        <v>408</v>
      </c>
    </row>
    <row r="163" spans="5:23" x14ac:dyDescent="0.35">
      <c r="E163" s="24" t="s">
        <v>400</v>
      </c>
      <c r="G163" s="12"/>
      <c r="J163" s="79"/>
      <c r="K163" s="79"/>
      <c r="L163" s="79"/>
      <c r="M163" s="79"/>
      <c r="N163" s="79"/>
      <c r="O163" s="79"/>
      <c r="P163" s="79"/>
      <c r="Q163" s="79"/>
      <c r="R163" s="79"/>
      <c r="S163" s="79"/>
      <c r="T163" s="79"/>
      <c r="U163" s="79"/>
    </row>
    <row r="164" spans="5:23" x14ac:dyDescent="0.35">
      <c r="F164" s="19" t="s">
        <v>827</v>
      </c>
      <c r="G164" s="68" t="s">
        <v>283</v>
      </c>
      <c r="H164" s="119"/>
      <c r="I164" s="19"/>
      <c r="J164" s="73"/>
      <c r="K164" s="73"/>
      <c r="L164" s="73"/>
      <c r="M164" s="73"/>
      <c r="N164" s="73"/>
      <c r="O164" s="73"/>
      <c r="P164" s="73"/>
      <c r="Q164" s="73"/>
      <c r="R164" s="73"/>
      <c r="S164" s="73"/>
      <c r="T164" s="73"/>
      <c r="U164" s="73"/>
    </row>
    <row r="165" spans="5:23" x14ac:dyDescent="0.35">
      <c r="F165" t="s">
        <v>829</v>
      </c>
      <c r="G165" s="62" t="s">
        <v>283</v>
      </c>
      <c r="H165" s="53"/>
      <c r="J165" s="69"/>
      <c r="K165" s="69"/>
      <c r="L165" s="69"/>
      <c r="M165" s="69"/>
      <c r="N165" s="69"/>
      <c r="O165" s="69"/>
      <c r="P165" s="69"/>
      <c r="Q165" s="69"/>
      <c r="R165" s="69"/>
      <c r="S165" s="69"/>
      <c r="T165" s="69"/>
      <c r="U165" s="69"/>
      <c r="W165" s="3"/>
    </row>
    <row r="166" spans="5:23" x14ac:dyDescent="0.35">
      <c r="F166" t="s">
        <v>828</v>
      </c>
      <c r="G166" s="62" t="s">
        <v>283</v>
      </c>
      <c r="H166" s="53"/>
      <c r="J166" s="69"/>
      <c r="K166" s="69"/>
      <c r="L166" s="69"/>
      <c r="M166" s="69"/>
      <c r="N166" s="69"/>
      <c r="O166" s="69"/>
      <c r="P166" s="69"/>
      <c r="Q166" s="69"/>
      <c r="R166" s="69"/>
      <c r="S166" s="69"/>
      <c r="T166" s="69"/>
      <c r="U166" s="69"/>
      <c r="W166" s="3"/>
    </row>
    <row r="167" spans="5:23" x14ac:dyDescent="0.35">
      <c r="F167" t="s">
        <v>830</v>
      </c>
      <c r="G167" s="62" t="s">
        <v>283</v>
      </c>
      <c r="H167" s="53"/>
      <c r="J167" s="69"/>
      <c r="K167" s="69"/>
      <c r="L167" s="69"/>
      <c r="M167" s="69"/>
      <c r="N167" s="69"/>
      <c r="O167" s="69"/>
      <c r="P167" s="69"/>
      <c r="Q167" s="69"/>
      <c r="R167" s="69"/>
      <c r="S167" s="69"/>
      <c r="T167" s="69"/>
      <c r="U167" s="69"/>
    </row>
    <row r="168" spans="5:23" x14ac:dyDescent="0.35">
      <c r="F168" t="s">
        <v>836</v>
      </c>
      <c r="G168" s="62" t="s">
        <v>283</v>
      </c>
      <c r="H168" s="53"/>
      <c r="J168" s="69"/>
      <c r="K168" s="69"/>
      <c r="L168" s="69"/>
      <c r="M168" s="69"/>
      <c r="N168" s="69"/>
      <c r="O168" s="69"/>
      <c r="P168" s="69"/>
      <c r="Q168" s="69"/>
      <c r="R168" s="69"/>
      <c r="S168" s="69"/>
      <c r="T168" s="69"/>
      <c r="U168" s="69"/>
    </row>
    <row r="169" spans="5:23" x14ac:dyDescent="0.35">
      <c r="F169" t="s">
        <v>837</v>
      </c>
      <c r="G169" s="62" t="s">
        <v>283</v>
      </c>
      <c r="H169" s="53"/>
      <c r="J169" s="69"/>
      <c r="K169" s="69"/>
      <c r="L169" s="69"/>
      <c r="M169" s="69"/>
      <c r="N169" s="69"/>
      <c r="O169" s="69"/>
      <c r="P169" s="69"/>
      <c r="Q169" s="69"/>
      <c r="R169" s="69"/>
      <c r="S169" s="69"/>
      <c r="T169" s="69"/>
      <c r="U169" s="69"/>
    </row>
    <row r="170" spans="5:23" x14ac:dyDescent="0.35">
      <c r="F170" t="s">
        <v>838</v>
      </c>
      <c r="G170" s="62" t="s">
        <v>283</v>
      </c>
      <c r="H170" s="53"/>
      <c r="J170" s="69"/>
      <c r="K170" s="69"/>
      <c r="L170" s="69"/>
      <c r="M170" s="69"/>
      <c r="N170" s="69"/>
      <c r="O170" s="69"/>
      <c r="P170" s="69"/>
      <c r="Q170" s="69"/>
      <c r="R170" s="69"/>
      <c r="S170" s="69"/>
      <c r="T170" s="69"/>
      <c r="U170" s="69"/>
    </row>
    <row r="171" spans="5:23" x14ac:dyDescent="0.35">
      <c r="F171" t="s">
        <v>839</v>
      </c>
      <c r="G171" s="62" t="s">
        <v>283</v>
      </c>
      <c r="H171" s="53"/>
      <c r="J171" s="69"/>
      <c r="K171" s="69"/>
      <c r="L171" s="69"/>
      <c r="M171" s="69"/>
      <c r="N171" s="69"/>
      <c r="O171" s="69"/>
      <c r="P171" s="69"/>
      <c r="Q171" s="69"/>
      <c r="R171" s="69"/>
      <c r="S171" s="69"/>
      <c r="T171" s="69"/>
      <c r="U171" s="69"/>
    </row>
    <row r="172" spans="5:23" x14ac:dyDescent="0.35">
      <c r="F172" t="s">
        <v>831</v>
      </c>
      <c r="G172" s="62" t="s">
        <v>283</v>
      </c>
      <c r="H172" s="53"/>
      <c r="J172" s="111">
        <f t="shared" ref="J172:S172" si="54">$H134 * J73</f>
        <v>-1.0900000000000001</v>
      </c>
      <c r="K172" s="111">
        <f t="shared" si="54"/>
        <v>-1.0900000000000001</v>
      </c>
      <c r="L172" s="111">
        <f t="shared" si="54"/>
        <v>-1.0900000000000001</v>
      </c>
      <c r="M172" s="111">
        <f t="shared" si="54"/>
        <v>-1.0900000000000001</v>
      </c>
      <c r="N172" s="111">
        <f t="shared" si="54"/>
        <v>-1.0900000000000001</v>
      </c>
      <c r="O172" s="111">
        <f t="shared" si="54"/>
        <v>-1.0900000000000001</v>
      </c>
      <c r="P172" s="111">
        <f t="shared" si="54"/>
        <v>0</v>
      </c>
      <c r="Q172" s="111">
        <f t="shared" si="54"/>
        <v>-1.0900000000000001</v>
      </c>
      <c r="R172" s="111">
        <f t="shared" si="54"/>
        <v>-1.0900000000000001</v>
      </c>
      <c r="S172" s="111">
        <f t="shared" si="54"/>
        <v>-1.0900000000000001</v>
      </c>
      <c r="T172" s="69"/>
      <c r="U172" s="69"/>
    </row>
    <row r="173" spans="5:23" x14ac:dyDescent="0.35">
      <c r="F173" t="s">
        <v>832</v>
      </c>
      <c r="G173" s="62" t="s">
        <v>283</v>
      </c>
      <c r="H173" s="53"/>
      <c r="J173" s="111">
        <f t="shared" ref="J173:S173" si="55">$H135 * J74</f>
        <v>-1.0429999999999999</v>
      </c>
      <c r="K173" s="111">
        <f t="shared" si="55"/>
        <v>-1.0429999999999999</v>
      </c>
      <c r="L173" s="111">
        <f t="shared" si="55"/>
        <v>-1.0429999999999999</v>
      </c>
      <c r="M173" s="111">
        <f t="shared" si="55"/>
        <v>-1.0429999999999999</v>
      </c>
      <c r="N173" s="111">
        <f t="shared" si="55"/>
        <v>-1.0429999999999999</v>
      </c>
      <c r="O173" s="111">
        <f t="shared" si="55"/>
        <v>-1.0429999999999999</v>
      </c>
      <c r="P173" s="111">
        <f t="shared" si="55"/>
        <v>0</v>
      </c>
      <c r="Q173" s="111">
        <f t="shared" si="55"/>
        <v>-1.0429999999999999</v>
      </c>
      <c r="R173" s="111">
        <f t="shared" si="55"/>
        <v>-1.0429999999999999</v>
      </c>
      <c r="S173" s="111">
        <f t="shared" si="55"/>
        <v>0</v>
      </c>
      <c r="T173" s="69"/>
      <c r="U173" s="69"/>
    </row>
    <row r="174" spans="5:23" x14ac:dyDescent="0.35">
      <c r="F174" t="s">
        <v>833</v>
      </c>
      <c r="G174" s="62" t="s">
        <v>283</v>
      </c>
      <c r="H174" s="53"/>
      <c r="J174" s="111">
        <f t="shared" ref="J174:S174" si="56">$H136 * J75</f>
        <v>-1.0900000000000001</v>
      </c>
      <c r="K174" s="111">
        <f t="shared" si="56"/>
        <v>-1.0900000000000001</v>
      </c>
      <c r="L174" s="111">
        <f t="shared" si="56"/>
        <v>-1.0900000000000001</v>
      </c>
      <c r="M174" s="111">
        <f t="shared" si="56"/>
        <v>-1.0900000000000001</v>
      </c>
      <c r="N174" s="111">
        <f t="shared" si="56"/>
        <v>-1.0900000000000001</v>
      </c>
      <c r="O174" s="111">
        <f t="shared" si="56"/>
        <v>-1.0900000000000001</v>
      </c>
      <c r="P174" s="111">
        <f t="shared" si="56"/>
        <v>0</v>
      </c>
      <c r="Q174" s="111">
        <f t="shared" si="56"/>
        <v>-1.0900000000000001</v>
      </c>
      <c r="R174" s="111">
        <f t="shared" si="56"/>
        <v>-1.0900000000000001</v>
      </c>
      <c r="S174" s="111">
        <f t="shared" si="56"/>
        <v>-1.0900000000000001</v>
      </c>
      <c r="T174" s="69"/>
      <c r="U174" s="69"/>
    </row>
    <row r="175" spans="5:23" x14ac:dyDescent="0.35">
      <c r="F175" t="s">
        <v>842</v>
      </c>
      <c r="G175" s="62" t="s">
        <v>283</v>
      </c>
      <c r="H175" s="53"/>
      <c r="J175" s="111">
        <f t="shared" ref="J175:S175" si="57">$H137 * J76</f>
        <v>-1.0900000000000001</v>
      </c>
      <c r="K175" s="111">
        <f t="shared" si="57"/>
        <v>-1.0900000000000001</v>
      </c>
      <c r="L175" s="111">
        <f t="shared" si="57"/>
        <v>-1.0900000000000001</v>
      </c>
      <c r="M175" s="111">
        <f t="shared" si="57"/>
        <v>-1.0900000000000001</v>
      </c>
      <c r="N175" s="111">
        <f t="shared" si="57"/>
        <v>-1.0900000000000001</v>
      </c>
      <c r="O175" s="111">
        <f t="shared" si="57"/>
        <v>-1.0900000000000001</v>
      </c>
      <c r="P175" s="111">
        <f t="shared" si="57"/>
        <v>0</v>
      </c>
      <c r="Q175" s="111">
        <f t="shared" si="57"/>
        <v>-1.0900000000000001</v>
      </c>
      <c r="R175" s="111">
        <f t="shared" si="57"/>
        <v>-1.0900000000000001</v>
      </c>
      <c r="S175" s="111">
        <f t="shared" si="57"/>
        <v>-1.0900000000000001</v>
      </c>
      <c r="T175" s="69"/>
      <c r="U175" s="69"/>
    </row>
    <row r="176" spans="5:23" x14ac:dyDescent="0.35">
      <c r="F176" t="s">
        <v>834</v>
      </c>
      <c r="G176" s="62" t="s">
        <v>283</v>
      </c>
      <c r="H176" s="53"/>
      <c r="J176" s="111">
        <f t="shared" ref="J176:S176" si="58">$H138 * J77</f>
        <v>-1.0429999999999999</v>
      </c>
      <c r="K176" s="111">
        <f t="shared" si="58"/>
        <v>-1.0429999999999999</v>
      </c>
      <c r="L176" s="111">
        <f t="shared" si="58"/>
        <v>-1.0429999999999999</v>
      </c>
      <c r="M176" s="111">
        <f t="shared" si="58"/>
        <v>-1.0429999999999999</v>
      </c>
      <c r="N176" s="111">
        <f t="shared" si="58"/>
        <v>-1.0429999999999999</v>
      </c>
      <c r="O176" s="111">
        <f t="shared" si="58"/>
        <v>-1.0429999999999999</v>
      </c>
      <c r="P176" s="111">
        <f t="shared" si="58"/>
        <v>0</v>
      </c>
      <c r="Q176" s="111">
        <f t="shared" si="58"/>
        <v>-1.0429999999999999</v>
      </c>
      <c r="R176" s="111">
        <f t="shared" si="58"/>
        <v>-1.0429999999999999</v>
      </c>
      <c r="S176" s="111">
        <f t="shared" si="58"/>
        <v>0</v>
      </c>
      <c r="T176" s="69"/>
      <c r="U176" s="69"/>
    </row>
    <row r="177" spans="2:23" x14ac:dyDescent="0.35">
      <c r="F177" t="s">
        <v>841</v>
      </c>
      <c r="G177" s="62" t="s">
        <v>283</v>
      </c>
      <c r="H177" s="53"/>
      <c r="J177" s="111">
        <f t="shared" ref="J177:S177" si="59">$H139 * J78</f>
        <v>-1.0429999999999999</v>
      </c>
      <c r="K177" s="111">
        <f t="shared" si="59"/>
        <v>-1.0429999999999999</v>
      </c>
      <c r="L177" s="111">
        <f t="shared" si="59"/>
        <v>-1.0429999999999999</v>
      </c>
      <c r="M177" s="111">
        <f t="shared" si="59"/>
        <v>-1.0429999999999999</v>
      </c>
      <c r="N177" s="111">
        <f t="shared" si="59"/>
        <v>-1.0429999999999999</v>
      </c>
      <c r="O177" s="111">
        <f t="shared" si="59"/>
        <v>-1.0429999999999999</v>
      </c>
      <c r="P177" s="111">
        <f t="shared" si="59"/>
        <v>0</v>
      </c>
      <c r="Q177" s="111">
        <f t="shared" si="59"/>
        <v>-1.0429999999999999</v>
      </c>
      <c r="R177" s="111">
        <f t="shared" si="59"/>
        <v>-1.0429999999999999</v>
      </c>
      <c r="S177" s="111">
        <f t="shared" si="59"/>
        <v>0</v>
      </c>
      <c r="T177" s="69"/>
      <c r="U177" s="69"/>
    </row>
    <row r="178" spans="2:23" x14ac:dyDescent="0.35">
      <c r="F178" t="s">
        <v>835</v>
      </c>
      <c r="G178" s="62" t="s">
        <v>283</v>
      </c>
      <c r="H178" s="53"/>
      <c r="J178" s="111">
        <f t="shared" ref="J178:S178" si="60">$H140 * J79</f>
        <v>-1.0269999999999999</v>
      </c>
      <c r="K178" s="111">
        <f t="shared" si="60"/>
        <v>-1.0269999999999999</v>
      </c>
      <c r="L178" s="111">
        <f t="shared" si="60"/>
        <v>-1.0269999999999999</v>
      </c>
      <c r="M178" s="111">
        <f t="shared" si="60"/>
        <v>-1.0269999999999999</v>
      </c>
      <c r="N178" s="111">
        <f t="shared" si="60"/>
        <v>-1.0269999999999999</v>
      </c>
      <c r="O178" s="111">
        <f t="shared" si="60"/>
        <v>-1.0269999999999999</v>
      </c>
      <c r="P178" s="111">
        <f t="shared" si="60"/>
        <v>0</v>
      </c>
      <c r="Q178" s="111">
        <f t="shared" si="60"/>
        <v>-1.0269999999999999</v>
      </c>
      <c r="R178" s="111">
        <f t="shared" si="60"/>
        <v>0</v>
      </c>
      <c r="S178" s="111">
        <f t="shared" si="60"/>
        <v>0</v>
      </c>
      <c r="T178" s="69"/>
      <c r="U178" s="69"/>
    </row>
    <row r="179" spans="2:23" x14ac:dyDescent="0.35">
      <c r="F179" s="28" t="s">
        <v>840</v>
      </c>
      <c r="G179" s="70" t="s">
        <v>283</v>
      </c>
      <c r="H179" s="120"/>
      <c r="I179" s="28"/>
      <c r="J179" s="121">
        <f t="shared" ref="J179:S179" si="61">$H141 * J80</f>
        <v>-1.0269999999999999</v>
      </c>
      <c r="K179" s="121">
        <f t="shared" si="61"/>
        <v>-1.0269999999999999</v>
      </c>
      <c r="L179" s="121">
        <f t="shared" si="61"/>
        <v>-1.0269999999999999</v>
      </c>
      <c r="M179" s="121">
        <f t="shared" si="61"/>
        <v>-1.0269999999999999</v>
      </c>
      <c r="N179" s="121">
        <f t="shared" si="61"/>
        <v>-1.0269999999999999</v>
      </c>
      <c r="O179" s="121">
        <f t="shared" si="61"/>
        <v>-1.0269999999999999</v>
      </c>
      <c r="P179" s="121">
        <f t="shared" si="61"/>
        <v>0</v>
      </c>
      <c r="Q179" s="121">
        <f t="shared" si="61"/>
        <v>-1.0269999999999999</v>
      </c>
      <c r="R179" s="121">
        <f t="shared" si="61"/>
        <v>0</v>
      </c>
      <c r="S179" s="121">
        <f t="shared" si="61"/>
        <v>0</v>
      </c>
      <c r="T179" s="71"/>
      <c r="U179" s="71"/>
    </row>
    <row r="180" spans="2:23" x14ac:dyDescent="0.35">
      <c r="G180" s="12"/>
    </row>
    <row r="181" spans="2:23" x14ac:dyDescent="0.35">
      <c r="B181" s="25" t="s">
        <v>231</v>
      </c>
      <c r="C181" s="25"/>
      <c r="D181" s="95"/>
      <c r="E181" s="95"/>
      <c r="F181" s="95"/>
      <c r="G181" s="122"/>
      <c r="H181" s="95"/>
      <c r="I181" s="95"/>
      <c r="J181" s="95"/>
      <c r="K181" s="95"/>
      <c r="L181" s="95"/>
      <c r="M181" s="95"/>
      <c r="N181" s="95"/>
      <c r="O181" s="95"/>
      <c r="P181" s="95"/>
      <c r="Q181" s="95"/>
      <c r="R181" s="95"/>
      <c r="S181" s="95"/>
      <c r="T181" s="95"/>
      <c r="U181" s="95"/>
      <c r="V181" s="95"/>
      <c r="W181" s="95"/>
    </row>
    <row r="182" spans="2:23" x14ac:dyDescent="0.35">
      <c r="G182" s="12"/>
    </row>
    <row r="183" spans="2:23" x14ac:dyDescent="0.35">
      <c r="E183" t="s">
        <v>232</v>
      </c>
      <c r="G183" s="6" t="s">
        <v>55</v>
      </c>
      <c r="H183" s="93">
        <f t="array" ref="H183">SUM(IF(ISERROR(H19:W181), 1))</f>
        <v>0</v>
      </c>
    </row>
    <row r="185" spans="2:23" x14ac:dyDescent="0.35">
      <c r="B185" s="25" t="s">
        <v>106</v>
      </c>
      <c r="C185" s="25"/>
      <c r="D185" s="25"/>
      <c r="E185" s="25"/>
      <c r="F185" s="25"/>
      <c r="G185" s="25"/>
      <c r="H185" s="25"/>
      <c r="I185" s="25"/>
      <c r="J185" s="25"/>
      <c r="K185" s="123"/>
      <c r="L185" s="123"/>
      <c r="M185" s="123"/>
      <c r="N185" s="123"/>
      <c r="O185" s="123"/>
      <c r="P185" s="123"/>
      <c r="Q185" s="123"/>
      <c r="R185" s="123"/>
      <c r="S185" s="123"/>
      <c r="T185" s="123"/>
      <c r="U185" s="25"/>
      <c r="V185" s="25"/>
      <c r="W185" s="25"/>
    </row>
  </sheetData>
  <sheetProtection sheet="1" objects="1" formatCells="0" formatColumns="0" formatRows="0" sort="0" autoFilter="0"/>
  <conditionalFormatting sqref="A4:XFD4">
    <cfRule type="expression" dxfId="170" priority="2">
      <formula>LEFT($A$4,1) &lt;&gt; "0"</formula>
    </cfRule>
  </conditionalFormatting>
  <conditionalFormatting sqref="H183">
    <cfRule type="cellIs" dxfId="16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xr:uid="{00000000-0002-0000-0A00-000000000000}">
      <formula1>0</formula1>
      <formula2>4</formula2>
    </dataValidation>
  </dataValidations>
  <hyperlinks>
    <hyperlink ref="B5:F5" location="'Model map'!A1" display="Click here to return to model map" xr:uid="{00000000-0004-0000-0A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21" width="17" customWidth="1"/>
    <col min="22" max="22" width="2.453125" customWidth="1"/>
    <col min="23" max="23" width="50.54296875" customWidth="1"/>
    <col min="24" max="24" width="2.453125" customWidth="1"/>
    <col min="25" max="42" width="17" hidden="1" customWidth="1"/>
    <col min="43" max="43" width="2.453125" hidden="1" customWidth="1"/>
    <col min="44" max="44" width="18.453125" hidden="1" customWidth="1"/>
    <col min="45" max="45" width="4.453125" hidden="1" customWidth="1"/>
    <col min="46" max="293" width="24.54296875" hidden="1" customWidth="1"/>
    <col min="294" max="16384" width="8.54296875" hidden="1"/>
  </cols>
  <sheetData>
    <row r="1" spans="1:23" s="1" customFormat="1" x14ac:dyDescent="0.35">
      <c r="A1" s="1" t="str">
        <f ca="1">MID(CELL("filename",A1),FIND("]",CELL("filename",A1))+1,255)</f>
        <v>Customer contributions</v>
      </c>
    </row>
    <row r="2" spans="1:23" s="1" customFormat="1" x14ac:dyDescent="0.35">
      <c r="A2" s="1" t="str">
        <f>Cover!D21&amp;" - "&amp;Cover!D23</f>
        <v>Southern Electric Power Distribution - Final</v>
      </c>
    </row>
    <row r="3" spans="1:23" s="5" customFormat="1" x14ac:dyDescent="0.35">
      <c r="A3" s="5" t="str">
        <f>Cover!D2&amp;" - "&amp;Cover!D8&amp;" v"&amp;Cover!D10&amp;" - "&amp;Cover!D19</f>
        <v>CDCM charging model - Release for charge setting v9 - 2024/25</v>
      </c>
    </row>
    <row r="4" spans="1:23" x14ac:dyDescent="0.35">
      <c r="A4" s="11" t="str">
        <f>H70 &amp; IF(H70 = 1, " issue", " issues") &amp;" identified in checks on this sheet"</f>
        <v>0 issues identified in checks on this sheet</v>
      </c>
      <c r="B4" s="12"/>
      <c r="C4" s="12"/>
      <c r="D4" s="12"/>
      <c r="E4" s="12"/>
      <c r="F4" s="12"/>
      <c r="G4" s="12"/>
      <c r="H4" s="13"/>
      <c r="I4" s="13"/>
      <c r="J4" s="12"/>
    </row>
    <row r="5" spans="1:23" x14ac:dyDescent="0.35">
      <c r="B5" s="49" t="s">
        <v>142</v>
      </c>
      <c r="C5" s="50"/>
      <c r="D5" s="50"/>
      <c r="E5" s="50"/>
      <c r="F5" s="50"/>
      <c r="G5" s="51" t="s">
        <v>143</v>
      </c>
      <c r="H5" s="52" t="s">
        <v>144</v>
      </c>
      <c r="W5" s="51" t="s">
        <v>145</v>
      </c>
    </row>
    <row r="7" spans="1:23" x14ac:dyDescent="0.35">
      <c r="B7" s="25" t="s">
        <v>10</v>
      </c>
      <c r="C7" s="25"/>
      <c r="D7" s="25"/>
      <c r="E7" s="25"/>
      <c r="F7" s="25"/>
      <c r="G7" s="25"/>
      <c r="H7" s="25"/>
      <c r="I7" s="25"/>
      <c r="J7" s="25"/>
      <c r="K7" s="25"/>
      <c r="L7" s="25"/>
      <c r="M7" s="25"/>
      <c r="N7" s="25"/>
      <c r="O7" s="25"/>
      <c r="P7" s="25"/>
      <c r="Q7" s="25"/>
      <c r="R7" s="25"/>
      <c r="S7" s="25"/>
      <c r="T7" s="25"/>
      <c r="U7" s="25"/>
      <c r="V7" s="25"/>
      <c r="W7" s="25"/>
    </row>
    <row r="9" spans="1:23" x14ac:dyDescent="0.35">
      <c r="C9" s="24" t="s">
        <v>409</v>
      </c>
    </row>
    <row r="10" spans="1:23" x14ac:dyDescent="0.35">
      <c r="C10" s="24" t="s">
        <v>410</v>
      </c>
    </row>
    <row r="12" spans="1:23" x14ac:dyDescent="0.35">
      <c r="B12" s="25" t="s">
        <v>66</v>
      </c>
      <c r="C12" s="25"/>
      <c r="D12" s="25"/>
      <c r="E12" s="25"/>
      <c r="F12" s="25"/>
      <c r="G12" s="25"/>
      <c r="H12" s="25"/>
      <c r="I12" s="25"/>
      <c r="J12" s="25"/>
      <c r="K12" s="25"/>
      <c r="L12" s="25"/>
      <c r="M12" s="25"/>
      <c r="N12" s="25"/>
      <c r="O12" s="25"/>
      <c r="P12" s="25"/>
      <c r="Q12" s="25"/>
      <c r="R12" s="25"/>
      <c r="S12" s="25"/>
      <c r="T12" s="25"/>
      <c r="U12" s="25"/>
      <c r="V12" s="25"/>
      <c r="W12" s="25"/>
    </row>
    <row r="14" spans="1:23" x14ac:dyDescent="0.35">
      <c r="C14" s="24" t="s">
        <v>411</v>
      </c>
    </row>
    <row r="16" spans="1:23" x14ac:dyDescent="0.35">
      <c r="C16" s="26" t="str">
        <f ca="1">INDEX('Version control'!$H$38:$H$61,MATCH($A$1,'Version control'!$F$38:$F$61,0),1)&amp;"-A: Network use factors"</f>
        <v>Section 103-A: Network use factors</v>
      </c>
      <c r="D16" s="26"/>
      <c r="E16" s="26"/>
      <c r="F16" s="26"/>
      <c r="G16" s="26"/>
      <c r="H16" s="26"/>
      <c r="I16" s="26"/>
      <c r="J16" s="26"/>
      <c r="K16" s="26"/>
      <c r="L16" s="26"/>
      <c r="M16" s="26"/>
      <c r="N16" s="26"/>
      <c r="O16" s="26"/>
      <c r="P16" s="26"/>
      <c r="Q16" s="26"/>
      <c r="R16" s="26"/>
      <c r="S16" s="26"/>
      <c r="T16" s="26"/>
      <c r="U16" s="26"/>
      <c r="V16" s="26"/>
      <c r="W16" s="26"/>
    </row>
    <row r="18" spans="5:23" x14ac:dyDescent="0.35">
      <c r="E18" s="27" t="s">
        <v>180</v>
      </c>
      <c r="H18" s="3"/>
      <c r="I18" s="3" t="s">
        <v>154</v>
      </c>
      <c r="J18" s="3"/>
      <c r="K18" s="3"/>
      <c r="L18" s="3"/>
      <c r="M18" s="3"/>
      <c r="N18" s="3"/>
      <c r="O18" s="3"/>
      <c r="P18" s="3"/>
      <c r="Q18" s="3"/>
      <c r="R18" s="3"/>
      <c r="S18" s="3"/>
      <c r="T18" s="3"/>
      <c r="U18" s="3"/>
      <c r="W18" s="3" t="s">
        <v>181</v>
      </c>
    </row>
    <row r="19" spans="5:23" x14ac:dyDescent="0.35">
      <c r="E19" s="24" t="s">
        <v>182</v>
      </c>
      <c r="H19" s="3"/>
      <c r="I19" s="3"/>
      <c r="J19" s="3"/>
      <c r="K19" s="3"/>
      <c r="L19" s="3"/>
      <c r="M19" s="3"/>
      <c r="N19" s="3"/>
      <c r="O19" s="3"/>
      <c r="P19" s="3"/>
      <c r="Q19" s="3"/>
      <c r="R19" s="3"/>
      <c r="S19" s="3"/>
      <c r="T19" s="3"/>
      <c r="U19" s="3"/>
      <c r="W19" s="3"/>
    </row>
    <row r="20" spans="5:23" x14ac:dyDescent="0.35">
      <c r="F20" s="124"/>
      <c r="G20" s="124"/>
      <c r="H20" s="125"/>
      <c r="I20" s="125"/>
      <c r="J20" s="126" t="s">
        <v>183</v>
      </c>
      <c r="K20" s="126" t="s">
        <v>184</v>
      </c>
      <c r="L20" s="126" t="s">
        <v>185</v>
      </c>
      <c r="M20" s="126" t="s">
        <v>186</v>
      </c>
      <c r="O20" s="3"/>
      <c r="P20" s="3"/>
      <c r="Q20" s="3"/>
      <c r="R20" s="3"/>
      <c r="S20" s="3"/>
      <c r="T20" s="3"/>
      <c r="U20" s="3"/>
    </row>
    <row r="21" spans="5:23" x14ac:dyDescent="0.35">
      <c r="F21" s="23" t="s">
        <v>827</v>
      </c>
      <c r="G21" s="12" t="s">
        <v>176</v>
      </c>
      <c r="H21" s="3"/>
      <c r="I21" s="3"/>
      <c r="J21" s="127">
        <f t="array" ref="J21:M36">TRANSPOSE('Fixed inputs'!J53:Y56)</f>
        <v>0</v>
      </c>
      <c r="K21" s="127">
        <v>0</v>
      </c>
      <c r="L21" s="127">
        <v>0</v>
      </c>
      <c r="M21" s="127">
        <v>1</v>
      </c>
      <c r="S21" s="3"/>
      <c r="T21" s="3"/>
      <c r="U21" s="3"/>
      <c r="W21" s="3"/>
    </row>
    <row r="22" spans="5:23" x14ac:dyDescent="0.35">
      <c r="F22" s="23" t="s">
        <v>829</v>
      </c>
      <c r="G22" s="12" t="s">
        <v>176</v>
      </c>
      <c r="H22" s="3"/>
      <c r="I22" s="3"/>
      <c r="J22" s="127">
        <v>0</v>
      </c>
      <c r="K22" s="127">
        <v>0</v>
      </c>
      <c r="L22" s="127">
        <v>0</v>
      </c>
      <c r="M22" s="127">
        <v>1</v>
      </c>
      <c r="S22" s="3"/>
      <c r="T22" s="3"/>
      <c r="U22" s="3"/>
      <c r="W22" s="3"/>
    </row>
    <row r="23" spans="5:23" x14ac:dyDescent="0.35">
      <c r="F23" s="23" t="s">
        <v>828</v>
      </c>
      <c r="G23" s="12" t="s">
        <v>176</v>
      </c>
      <c r="H23" s="3"/>
      <c r="I23" s="3"/>
      <c r="J23" s="127">
        <v>0</v>
      </c>
      <c r="K23" s="127">
        <v>0</v>
      </c>
      <c r="L23" s="127">
        <v>0</v>
      </c>
      <c r="M23" s="127">
        <v>1</v>
      </c>
      <c r="S23" s="3"/>
      <c r="T23" s="3"/>
      <c r="U23" s="3"/>
      <c r="W23" s="3"/>
    </row>
    <row r="24" spans="5:23" x14ac:dyDescent="0.35">
      <c r="F24" s="23" t="s">
        <v>830</v>
      </c>
      <c r="G24" s="12" t="s">
        <v>176</v>
      </c>
      <c r="H24" s="3"/>
      <c r="I24" s="3"/>
      <c r="J24" s="127">
        <v>0</v>
      </c>
      <c r="K24" s="127">
        <v>0</v>
      </c>
      <c r="L24" s="127">
        <v>0</v>
      </c>
      <c r="M24" s="127">
        <v>1</v>
      </c>
      <c r="S24" s="3"/>
      <c r="T24" s="3"/>
      <c r="U24" s="3"/>
      <c r="W24" s="3"/>
    </row>
    <row r="25" spans="5:23" x14ac:dyDescent="0.35">
      <c r="F25" s="23" t="s">
        <v>836</v>
      </c>
      <c r="G25" s="12" t="s">
        <v>176</v>
      </c>
      <c r="H25" s="3"/>
      <c r="I25" s="3"/>
      <c r="J25" s="127">
        <v>0</v>
      </c>
      <c r="K25" s="127">
        <v>0</v>
      </c>
      <c r="L25" s="127">
        <v>0</v>
      </c>
      <c r="M25" s="127">
        <v>1</v>
      </c>
      <c r="S25" s="3"/>
      <c r="T25" s="3"/>
      <c r="U25" s="3"/>
      <c r="W25" s="3"/>
    </row>
    <row r="26" spans="5:23" x14ac:dyDescent="0.35">
      <c r="F26" s="23" t="s">
        <v>837</v>
      </c>
      <c r="G26" s="12" t="s">
        <v>176</v>
      </c>
      <c r="H26" s="3"/>
      <c r="I26" s="3"/>
      <c r="J26" s="127">
        <v>0</v>
      </c>
      <c r="K26" s="127">
        <v>0</v>
      </c>
      <c r="L26" s="127">
        <v>1</v>
      </c>
      <c r="M26" s="127">
        <v>0</v>
      </c>
      <c r="S26" s="3"/>
      <c r="T26" s="3"/>
      <c r="U26" s="3"/>
      <c r="W26" s="3"/>
    </row>
    <row r="27" spans="5:23" x14ac:dyDescent="0.35">
      <c r="F27" s="23" t="s">
        <v>838</v>
      </c>
      <c r="G27" s="12" t="s">
        <v>176</v>
      </c>
      <c r="H27" s="3"/>
      <c r="I27" s="3"/>
      <c r="J27" s="127">
        <v>0</v>
      </c>
      <c r="K27" s="127">
        <v>1</v>
      </c>
      <c r="L27" s="127">
        <v>0</v>
      </c>
      <c r="M27" s="127">
        <v>0</v>
      </c>
      <c r="S27" s="3"/>
      <c r="T27" s="3"/>
      <c r="U27" s="3"/>
      <c r="W27" s="3"/>
    </row>
    <row r="28" spans="5:23" x14ac:dyDescent="0.35">
      <c r="F28" s="23" t="s">
        <v>839</v>
      </c>
      <c r="G28" s="12" t="s">
        <v>176</v>
      </c>
      <c r="H28" s="3"/>
      <c r="I28" s="3"/>
      <c r="J28" s="127">
        <v>0</v>
      </c>
      <c r="K28" s="127">
        <v>0</v>
      </c>
      <c r="L28" s="127">
        <v>0</v>
      </c>
      <c r="M28" s="127">
        <v>1</v>
      </c>
      <c r="S28" s="3"/>
      <c r="T28" s="3"/>
      <c r="U28" s="3"/>
      <c r="W28" s="3"/>
    </row>
    <row r="29" spans="5:23" x14ac:dyDescent="0.35">
      <c r="F29" s="23" t="s">
        <v>831</v>
      </c>
      <c r="G29" s="12" t="s">
        <v>176</v>
      </c>
      <c r="H29" s="3"/>
      <c r="I29" s="3"/>
      <c r="J29" s="127">
        <v>0</v>
      </c>
      <c r="K29" s="127">
        <v>0</v>
      </c>
      <c r="L29" s="127">
        <v>0</v>
      </c>
      <c r="M29" s="127">
        <v>1</v>
      </c>
      <c r="S29" s="3"/>
      <c r="T29" s="3"/>
      <c r="U29" s="3"/>
      <c r="W29" s="3"/>
    </row>
    <row r="30" spans="5:23" x14ac:dyDescent="0.35">
      <c r="F30" s="23" t="s">
        <v>832</v>
      </c>
      <c r="G30" s="12" t="s">
        <v>176</v>
      </c>
      <c r="H30" s="3"/>
      <c r="I30" s="3"/>
      <c r="J30" s="127">
        <v>0</v>
      </c>
      <c r="K30" s="127">
        <v>0</v>
      </c>
      <c r="L30" s="127">
        <v>1</v>
      </c>
      <c r="M30" s="127">
        <v>0</v>
      </c>
      <c r="S30" s="3"/>
      <c r="T30" s="3"/>
      <c r="U30" s="3"/>
      <c r="W30" s="3"/>
    </row>
    <row r="31" spans="5:23" x14ac:dyDescent="0.35">
      <c r="F31" s="23" t="s">
        <v>833</v>
      </c>
      <c r="G31" s="12" t="s">
        <v>176</v>
      </c>
      <c r="H31" s="3"/>
      <c r="I31" s="3"/>
      <c r="J31" s="127">
        <v>0</v>
      </c>
      <c r="K31" s="127">
        <v>0</v>
      </c>
      <c r="L31" s="127">
        <v>0</v>
      </c>
      <c r="M31" s="127">
        <v>1</v>
      </c>
      <c r="S31" s="3"/>
      <c r="T31" s="3"/>
      <c r="U31" s="3"/>
      <c r="W31" s="3"/>
    </row>
    <row r="32" spans="5:23" x14ac:dyDescent="0.35">
      <c r="F32" s="23" t="s">
        <v>842</v>
      </c>
      <c r="G32" s="12" t="s">
        <v>176</v>
      </c>
      <c r="H32" s="3"/>
      <c r="I32" s="3"/>
      <c r="J32" s="127">
        <v>0</v>
      </c>
      <c r="K32" s="127">
        <v>0</v>
      </c>
      <c r="L32" s="127">
        <v>0</v>
      </c>
      <c r="M32" s="127">
        <v>1</v>
      </c>
      <c r="S32" s="3"/>
      <c r="T32" s="3"/>
      <c r="U32" s="3"/>
      <c r="W32" s="3"/>
    </row>
    <row r="33" spans="3:23" x14ac:dyDescent="0.35">
      <c r="F33" s="23" t="s">
        <v>834</v>
      </c>
      <c r="G33" s="12" t="s">
        <v>176</v>
      </c>
      <c r="H33" s="3"/>
      <c r="I33" s="3"/>
      <c r="J33" s="127">
        <v>0</v>
      </c>
      <c r="K33" s="127">
        <v>0</v>
      </c>
      <c r="L33" s="127">
        <v>1</v>
      </c>
      <c r="M33" s="127">
        <v>0</v>
      </c>
      <c r="S33" s="3"/>
      <c r="T33" s="3"/>
      <c r="U33" s="3"/>
      <c r="W33" s="3"/>
    </row>
    <row r="34" spans="3:23" x14ac:dyDescent="0.35">
      <c r="F34" s="23" t="s">
        <v>841</v>
      </c>
      <c r="G34" s="12" t="s">
        <v>176</v>
      </c>
      <c r="H34" s="3"/>
      <c r="I34" s="3"/>
      <c r="J34" s="127">
        <v>0</v>
      </c>
      <c r="K34" s="127">
        <v>0</v>
      </c>
      <c r="L34" s="127">
        <v>1</v>
      </c>
      <c r="M34" s="127">
        <v>0</v>
      </c>
      <c r="S34" s="3"/>
      <c r="T34" s="3"/>
      <c r="U34" s="3"/>
      <c r="W34" s="3"/>
    </row>
    <row r="35" spans="3:23" x14ac:dyDescent="0.35">
      <c r="F35" s="23" t="s">
        <v>835</v>
      </c>
      <c r="G35" s="12" t="s">
        <v>176</v>
      </c>
      <c r="H35" s="3"/>
      <c r="I35" s="3"/>
      <c r="J35" s="127">
        <v>0</v>
      </c>
      <c r="K35" s="127">
        <v>1</v>
      </c>
      <c r="L35" s="127">
        <v>0</v>
      </c>
      <c r="M35" s="127">
        <v>0</v>
      </c>
      <c r="S35" s="3"/>
      <c r="T35" s="3"/>
      <c r="U35" s="3"/>
      <c r="W35" s="3"/>
    </row>
    <row r="36" spans="3:23" x14ac:dyDescent="0.35">
      <c r="F36" s="57" t="s">
        <v>840</v>
      </c>
      <c r="G36" s="76" t="s">
        <v>176</v>
      </c>
      <c r="H36" s="66"/>
      <c r="I36" s="66"/>
      <c r="J36" s="128">
        <v>0</v>
      </c>
      <c r="K36" s="128">
        <v>1</v>
      </c>
      <c r="L36" s="128">
        <v>0</v>
      </c>
      <c r="M36" s="128">
        <v>0</v>
      </c>
      <c r="S36" s="3"/>
      <c r="T36" s="3"/>
      <c r="U36" s="3"/>
      <c r="W36" s="3"/>
    </row>
    <row r="37" spans="3:23" x14ac:dyDescent="0.35">
      <c r="H37" s="3"/>
      <c r="I37" s="3"/>
      <c r="J37" s="3"/>
      <c r="K37" s="3"/>
      <c r="L37" s="3"/>
      <c r="M37" s="3"/>
      <c r="N37" s="3"/>
      <c r="O37" s="3"/>
      <c r="P37" s="3"/>
      <c r="Q37" s="3"/>
      <c r="R37" s="3"/>
      <c r="S37" s="3"/>
      <c r="T37" s="3"/>
      <c r="U37" s="3"/>
      <c r="W37" s="3"/>
    </row>
    <row r="38" spans="3:23" x14ac:dyDescent="0.35">
      <c r="C38" s="26" t="str">
        <f ca="1">INDEX('Version control'!$H$38:$H$61,MATCH($A$1,'Version control'!$F$38:$F$61,0),1)&amp;"-B: Customer contributions"</f>
        <v>Section 103-B: Customer contributions</v>
      </c>
      <c r="D38" s="26"/>
      <c r="E38" s="26"/>
      <c r="F38" s="26"/>
      <c r="G38" s="26"/>
      <c r="H38" s="26"/>
      <c r="I38" s="26"/>
      <c r="J38" s="26"/>
      <c r="K38" s="26"/>
      <c r="L38" s="26"/>
      <c r="M38" s="26"/>
      <c r="N38" s="26"/>
      <c r="O38" s="26"/>
      <c r="P38" s="26"/>
      <c r="Q38" s="26"/>
      <c r="R38" s="26"/>
      <c r="S38" s="26"/>
      <c r="T38" s="26"/>
      <c r="U38" s="26"/>
      <c r="V38" s="26"/>
      <c r="W38" s="26"/>
    </row>
    <row r="40" spans="3:23" x14ac:dyDescent="0.35">
      <c r="E40" s="27" t="s">
        <v>412</v>
      </c>
      <c r="H40" s="3"/>
      <c r="I40" s="3" t="s">
        <v>154</v>
      </c>
      <c r="J40" s="3"/>
      <c r="K40" s="3"/>
      <c r="L40" s="3"/>
      <c r="M40" s="3"/>
      <c r="N40" s="3"/>
      <c r="O40" s="3"/>
      <c r="P40" s="3"/>
      <c r="Q40" s="3"/>
      <c r="R40" s="3"/>
      <c r="S40" s="3"/>
      <c r="T40" s="3"/>
      <c r="U40" s="3"/>
      <c r="W40" s="3" t="s">
        <v>413</v>
      </c>
    </row>
    <row r="41" spans="3:23" x14ac:dyDescent="0.35">
      <c r="E41" s="24" t="s">
        <v>414</v>
      </c>
      <c r="H41" s="3"/>
      <c r="I41" s="3"/>
      <c r="J41" s="3"/>
      <c r="K41" s="3"/>
      <c r="L41" s="3"/>
      <c r="M41" s="3"/>
      <c r="N41" s="3"/>
      <c r="O41" s="3"/>
      <c r="P41" s="3"/>
      <c r="Q41" s="3"/>
      <c r="R41" s="3"/>
      <c r="S41" s="3"/>
      <c r="T41" s="3"/>
      <c r="U41" s="3"/>
      <c r="W41" s="3"/>
    </row>
    <row r="42" spans="3:23" x14ac:dyDescent="0.35">
      <c r="E42" s="27"/>
      <c r="F42" s="129"/>
      <c r="G42" s="129"/>
      <c r="H42" s="129"/>
      <c r="I42" s="129"/>
      <c r="J42" s="129" t="s">
        <v>189</v>
      </c>
      <c r="K42" s="130" t="s">
        <v>191</v>
      </c>
      <c r="L42" s="130" t="s">
        <v>192</v>
      </c>
      <c r="M42" s="130" t="s">
        <v>193</v>
      </c>
      <c r="N42" s="130" t="s">
        <v>194</v>
      </c>
      <c r="O42" s="130" t="s">
        <v>195</v>
      </c>
      <c r="P42" s="130" t="s">
        <v>196</v>
      </c>
      <c r="Q42" s="130" t="s">
        <v>197</v>
      </c>
      <c r="R42" s="130" t="s">
        <v>198</v>
      </c>
      <c r="S42" s="130" t="s">
        <v>199</v>
      </c>
      <c r="T42" s="130" t="s">
        <v>375</v>
      </c>
      <c r="U42" s="130" t="s">
        <v>376</v>
      </c>
    </row>
    <row r="43" spans="3:23" x14ac:dyDescent="0.35">
      <c r="F43" s="23" t="s">
        <v>186</v>
      </c>
      <c r="G43" s="62" t="s">
        <v>167</v>
      </c>
      <c r="H43" s="3"/>
      <c r="I43" s="3"/>
      <c r="J43" s="56"/>
      <c r="K43" s="56"/>
      <c r="L43" s="21">
        <f>'Inputs by network level'!L26</f>
        <v>0</v>
      </c>
      <c r="M43" s="21">
        <f>'Inputs by network level'!M26</f>
        <v>0</v>
      </c>
      <c r="N43" s="21">
        <f>'Inputs by network level'!N26</f>
        <v>1.2370413198693E-2</v>
      </c>
      <c r="O43" s="21">
        <f>'Inputs by network level'!O26</f>
        <v>2.4400925983857801E-2</v>
      </c>
      <c r="P43" s="21">
        <f>'Inputs by network level'!P26</f>
        <v>0</v>
      </c>
      <c r="Q43" s="21">
        <f>'Inputs by network level'!Q26</f>
        <v>0.34379931777325301</v>
      </c>
      <c r="R43" s="21">
        <f>'Inputs by network level'!R26</f>
        <v>0.42351973684210498</v>
      </c>
      <c r="S43" s="21">
        <f>'Inputs by network level'!S26</f>
        <v>0.95595667870036105</v>
      </c>
      <c r="T43" s="56"/>
      <c r="U43" s="56"/>
      <c r="W43" s="3"/>
    </row>
    <row r="44" spans="3:23" x14ac:dyDescent="0.35">
      <c r="F44" s="23" t="s">
        <v>185</v>
      </c>
      <c r="G44" s="62" t="s">
        <v>167</v>
      </c>
      <c r="H44" s="3"/>
      <c r="I44" s="3"/>
      <c r="J44" s="56"/>
      <c r="K44" s="56"/>
      <c r="L44" s="21">
        <f>'Inputs by network level'!L27</f>
        <v>0</v>
      </c>
      <c r="M44" s="21">
        <f>'Inputs by network level'!M27</f>
        <v>0</v>
      </c>
      <c r="N44" s="21">
        <f>'Inputs by network level'!N27</f>
        <v>1.2370413198693E-2</v>
      </c>
      <c r="O44" s="21">
        <f>'Inputs by network level'!O27</f>
        <v>2.4400925983857801E-2</v>
      </c>
      <c r="P44" s="21">
        <f>'Inputs by network level'!P27</f>
        <v>0</v>
      </c>
      <c r="Q44" s="21">
        <f>'Inputs by network level'!Q27</f>
        <v>0.34379931777325301</v>
      </c>
      <c r="R44" s="21">
        <f>'Inputs by network level'!R27</f>
        <v>0.42351973684210498</v>
      </c>
      <c r="S44" s="21">
        <f>'Inputs by network level'!S27</f>
        <v>0</v>
      </c>
      <c r="T44" s="56"/>
      <c r="U44" s="56"/>
      <c r="W44" s="3"/>
    </row>
    <row r="45" spans="3:23" x14ac:dyDescent="0.35">
      <c r="F45" s="23" t="s">
        <v>184</v>
      </c>
      <c r="G45" s="62" t="s">
        <v>167</v>
      </c>
      <c r="H45" s="3"/>
      <c r="I45" s="3"/>
      <c r="J45" s="56"/>
      <c r="K45" s="56"/>
      <c r="L45" s="21">
        <f>'Inputs by network level'!L28</f>
        <v>0</v>
      </c>
      <c r="M45" s="21">
        <f>'Inputs by network level'!M28</f>
        <v>0</v>
      </c>
      <c r="N45" s="21">
        <f>'Inputs by network level'!N28</f>
        <v>3.4530744799792602E-2</v>
      </c>
      <c r="O45" s="21">
        <f>'Inputs by network level'!O28</f>
        <v>6.6381013698021907E-2</v>
      </c>
      <c r="P45" s="21">
        <f>'Inputs by network level'!P28</f>
        <v>0</v>
      </c>
      <c r="Q45" s="21">
        <f>'Inputs by network level'!Q28</f>
        <v>0.38323267678152101</v>
      </c>
      <c r="R45" s="21">
        <f>'Inputs by network level'!R28</f>
        <v>0</v>
      </c>
      <c r="S45" s="21">
        <f>'Inputs by network level'!S28</f>
        <v>0</v>
      </c>
      <c r="T45" s="56"/>
      <c r="U45" s="56"/>
      <c r="W45" s="3"/>
    </row>
    <row r="46" spans="3:23" x14ac:dyDescent="0.35">
      <c r="F46" s="57" t="s">
        <v>183</v>
      </c>
      <c r="G46" s="70" t="s">
        <v>167</v>
      </c>
      <c r="H46" s="66"/>
      <c r="I46" s="66"/>
      <c r="J46" s="58"/>
      <c r="K46" s="58"/>
      <c r="L46" s="131">
        <f>'Inputs by network level'!L29</f>
        <v>0</v>
      </c>
      <c r="M46" s="131">
        <f>'Inputs by network level'!M29</f>
        <v>0</v>
      </c>
      <c r="N46" s="131">
        <f>'Inputs by network level'!N29</f>
        <v>3.4530744799792602E-2</v>
      </c>
      <c r="O46" s="131">
        <f>'Inputs by network level'!O29</f>
        <v>6.6381013698021907E-2</v>
      </c>
      <c r="P46" s="131">
        <f>'Inputs by network level'!P29</f>
        <v>0</v>
      </c>
      <c r="Q46" s="131">
        <f>'Inputs by network level'!Q29</f>
        <v>0</v>
      </c>
      <c r="R46" s="131">
        <f>'Inputs by network level'!R29</f>
        <v>0</v>
      </c>
      <c r="S46" s="131">
        <f>'Inputs by network level'!S29</f>
        <v>0</v>
      </c>
      <c r="T46" s="58"/>
      <c r="U46" s="58"/>
      <c r="W46" s="3"/>
    </row>
    <row r="47" spans="3:23" x14ac:dyDescent="0.35">
      <c r="G47" s="12"/>
      <c r="H47" s="3"/>
      <c r="I47" s="3"/>
      <c r="J47" s="3"/>
      <c r="K47" s="3"/>
      <c r="L47" s="3"/>
      <c r="M47" s="3"/>
      <c r="N47" s="3"/>
      <c r="O47" s="3"/>
      <c r="P47" s="3"/>
      <c r="Q47" s="3"/>
      <c r="R47" s="3"/>
      <c r="S47" s="3"/>
      <c r="T47" s="3"/>
      <c r="U47" s="3"/>
      <c r="W47" s="3"/>
    </row>
    <row r="48" spans="3:23" x14ac:dyDescent="0.35">
      <c r="E48" s="27" t="s">
        <v>415</v>
      </c>
      <c r="H48" s="12"/>
      <c r="I48" s="3"/>
      <c r="J48" s="3"/>
      <c r="K48" s="3"/>
      <c r="L48" s="3"/>
      <c r="M48" s="3"/>
      <c r="N48" s="3"/>
      <c r="O48" s="3"/>
      <c r="P48" s="3"/>
      <c r="Q48" s="3"/>
      <c r="R48" s="3"/>
      <c r="S48" s="3"/>
      <c r="T48" s="3"/>
      <c r="U48" s="3"/>
      <c r="W48" s="3"/>
    </row>
    <row r="49" spans="5:23" x14ac:dyDescent="0.35">
      <c r="E49" s="24" t="s">
        <v>416</v>
      </c>
      <c r="H49" s="12"/>
      <c r="I49" s="3"/>
      <c r="J49" s="3"/>
      <c r="K49" s="3"/>
      <c r="L49" s="3"/>
      <c r="M49" s="3"/>
      <c r="N49" s="3"/>
      <c r="O49" s="3"/>
      <c r="P49" s="3"/>
      <c r="Q49" s="3"/>
      <c r="R49" s="3"/>
      <c r="S49" s="3"/>
      <c r="T49" s="3"/>
      <c r="U49" s="3"/>
      <c r="W49" s="3"/>
    </row>
    <row r="50" spans="5:23" x14ac:dyDescent="0.35">
      <c r="F50" s="129"/>
      <c r="G50" s="129"/>
      <c r="H50" s="132"/>
      <c r="I50" s="129"/>
      <c r="J50" s="129" t="s">
        <v>189</v>
      </c>
      <c r="K50" s="130" t="s">
        <v>191</v>
      </c>
      <c r="L50" s="130" t="s">
        <v>192</v>
      </c>
      <c r="M50" s="130" t="s">
        <v>193</v>
      </c>
      <c r="N50" s="130" t="s">
        <v>194</v>
      </c>
      <c r="O50" s="130" t="s">
        <v>195</v>
      </c>
      <c r="P50" s="130" t="s">
        <v>196</v>
      </c>
      <c r="Q50" s="130" t="s">
        <v>197</v>
      </c>
      <c r="R50" s="130" t="s">
        <v>198</v>
      </c>
      <c r="S50" s="130" t="s">
        <v>199</v>
      </c>
      <c r="T50" s="130" t="s">
        <v>375</v>
      </c>
      <c r="U50" s="130" t="s">
        <v>376</v>
      </c>
      <c r="W50" s="3"/>
    </row>
    <row r="51" spans="5:23" x14ac:dyDescent="0.35">
      <c r="F51" s="23" t="s">
        <v>827</v>
      </c>
      <c r="G51" s="23"/>
      <c r="H51" s="62" t="s">
        <v>167</v>
      </c>
      <c r="J51" s="60"/>
      <c r="K51" s="60"/>
      <c r="L51" s="101">
        <f t="shared" ref="L51:S60" si="0">$M21 * L$43 + $L21 * L$44 + $K21 * L$45 + $J21 * L$46</f>
        <v>0</v>
      </c>
      <c r="M51" s="101">
        <f t="shared" si="0"/>
        <v>0</v>
      </c>
      <c r="N51" s="101">
        <f t="shared" si="0"/>
        <v>1.2370413198693E-2</v>
      </c>
      <c r="O51" s="101">
        <f t="shared" si="0"/>
        <v>2.4400925983857801E-2</v>
      </c>
      <c r="P51" s="101">
        <f t="shared" si="0"/>
        <v>0</v>
      </c>
      <c r="Q51" s="101">
        <f t="shared" si="0"/>
        <v>0.34379931777325301</v>
      </c>
      <c r="R51" s="101">
        <f t="shared" si="0"/>
        <v>0.42351973684210498</v>
      </c>
      <c r="S51" s="101">
        <f t="shared" si="0"/>
        <v>0.95595667870036105</v>
      </c>
      <c r="T51" s="60"/>
      <c r="U51" s="60"/>
    </row>
    <row r="52" spans="5:23" x14ac:dyDescent="0.35">
      <c r="F52" s="23" t="s">
        <v>829</v>
      </c>
      <c r="G52" s="23"/>
      <c r="H52" s="62" t="s">
        <v>167</v>
      </c>
      <c r="J52" s="60"/>
      <c r="K52" s="60"/>
      <c r="L52" s="101">
        <f t="shared" si="0"/>
        <v>0</v>
      </c>
      <c r="M52" s="101">
        <f t="shared" si="0"/>
        <v>0</v>
      </c>
      <c r="N52" s="101">
        <f t="shared" si="0"/>
        <v>1.2370413198693E-2</v>
      </c>
      <c r="O52" s="101">
        <f t="shared" si="0"/>
        <v>2.4400925983857801E-2</v>
      </c>
      <c r="P52" s="101">
        <f t="shared" si="0"/>
        <v>0</v>
      </c>
      <c r="Q52" s="101">
        <f t="shared" si="0"/>
        <v>0.34379931777325301</v>
      </c>
      <c r="R52" s="101">
        <f t="shared" si="0"/>
        <v>0.42351973684210498</v>
      </c>
      <c r="S52" s="101">
        <f t="shared" si="0"/>
        <v>0.95595667870036105</v>
      </c>
      <c r="T52" s="60"/>
      <c r="U52" s="60"/>
    </row>
    <row r="53" spans="5:23" x14ac:dyDescent="0.35">
      <c r="F53" s="23" t="s">
        <v>828</v>
      </c>
      <c r="G53" s="23"/>
      <c r="H53" s="62" t="s">
        <v>167</v>
      </c>
      <c r="J53" s="60"/>
      <c r="K53" s="60"/>
      <c r="L53" s="101">
        <f t="shared" si="0"/>
        <v>0</v>
      </c>
      <c r="M53" s="101">
        <f t="shared" si="0"/>
        <v>0</v>
      </c>
      <c r="N53" s="101">
        <f t="shared" si="0"/>
        <v>1.2370413198693E-2</v>
      </c>
      <c r="O53" s="101">
        <f t="shared" si="0"/>
        <v>2.4400925983857801E-2</v>
      </c>
      <c r="P53" s="101">
        <f t="shared" si="0"/>
        <v>0</v>
      </c>
      <c r="Q53" s="101">
        <f t="shared" si="0"/>
        <v>0.34379931777325301</v>
      </c>
      <c r="R53" s="101">
        <f t="shared" si="0"/>
        <v>0.42351973684210498</v>
      </c>
      <c r="S53" s="101">
        <f t="shared" si="0"/>
        <v>0.95595667870036105</v>
      </c>
      <c r="T53" s="60"/>
      <c r="U53" s="60"/>
    </row>
    <row r="54" spans="5:23" x14ac:dyDescent="0.35">
      <c r="F54" s="23" t="s">
        <v>830</v>
      </c>
      <c r="G54" s="23"/>
      <c r="H54" s="62" t="s">
        <v>167</v>
      </c>
      <c r="J54" s="60"/>
      <c r="K54" s="60"/>
      <c r="L54" s="101">
        <f t="shared" si="0"/>
        <v>0</v>
      </c>
      <c r="M54" s="101">
        <f t="shared" si="0"/>
        <v>0</v>
      </c>
      <c r="N54" s="101">
        <f t="shared" si="0"/>
        <v>1.2370413198693E-2</v>
      </c>
      <c r="O54" s="101">
        <f t="shared" si="0"/>
        <v>2.4400925983857801E-2</v>
      </c>
      <c r="P54" s="101">
        <f t="shared" si="0"/>
        <v>0</v>
      </c>
      <c r="Q54" s="101">
        <f t="shared" si="0"/>
        <v>0.34379931777325301</v>
      </c>
      <c r="R54" s="101">
        <f t="shared" si="0"/>
        <v>0.42351973684210498</v>
      </c>
      <c r="S54" s="101">
        <f t="shared" si="0"/>
        <v>0.95595667870036105</v>
      </c>
      <c r="T54" s="60"/>
      <c r="U54" s="60"/>
    </row>
    <row r="55" spans="5:23" x14ac:dyDescent="0.35">
      <c r="F55" s="23" t="s">
        <v>836</v>
      </c>
      <c r="G55" s="23"/>
      <c r="H55" s="62" t="s">
        <v>167</v>
      </c>
      <c r="J55" s="60"/>
      <c r="K55" s="60"/>
      <c r="L55" s="101">
        <f t="shared" si="0"/>
        <v>0</v>
      </c>
      <c r="M55" s="101">
        <f t="shared" si="0"/>
        <v>0</v>
      </c>
      <c r="N55" s="101">
        <f t="shared" si="0"/>
        <v>1.2370413198693E-2</v>
      </c>
      <c r="O55" s="101">
        <f t="shared" si="0"/>
        <v>2.4400925983857801E-2</v>
      </c>
      <c r="P55" s="101">
        <f t="shared" si="0"/>
        <v>0</v>
      </c>
      <c r="Q55" s="101">
        <f t="shared" si="0"/>
        <v>0.34379931777325301</v>
      </c>
      <c r="R55" s="101">
        <f t="shared" si="0"/>
        <v>0.42351973684210498</v>
      </c>
      <c r="S55" s="101">
        <f t="shared" si="0"/>
        <v>0.95595667870036105</v>
      </c>
      <c r="T55" s="60"/>
      <c r="U55" s="60"/>
    </row>
    <row r="56" spans="5:23" x14ac:dyDescent="0.35">
      <c r="F56" s="23" t="s">
        <v>837</v>
      </c>
      <c r="G56" s="23"/>
      <c r="H56" s="62" t="s">
        <v>167</v>
      </c>
      <c r="J56" s="60"/>
      <c r="K56" s="60"/>
      <c r="L56" s="101">
        <f t="shared" si="0"/>
        <v>0</v>
      </c>
      <c r="M56" s="101">
        <f t="shared" si="0"/>
        <v>0</v>
      </c>
      <c r="N56" s="101">
        <f t="shared" si="0"/>
        <v>1.2370413198693E-2</v>
      </c>
      <c r="O56" s="101">
        <f t="shared" si="0"/>
        <v>2.4400925983857801E-2</v>
      </c>
      <c r="P56" s="101">
        <f t="shared" si="0"/>
        <v>0</v>
      </c>
      <c r="Q56" s="101">
        <f t="shared" si="0"/>
        <v>0.34379931777325301</v>
      </c>
      <c r="R56" s="101">
        <f t="shared" si="0"/>
        <v>0.42351973684210498</v>
      </c>
      <c r="S56" s="101">
        <f t="shared" si="0"/>
        <v>0</v>
      </c>
      <c r="T56" s="60"/>
      <c r="U56" s="60"/>
    </row>
    <row r="57" spans="5:23" x14ac:dyDescent="0.35">
      <c r="F57" s="23" t="s">
        <v>838</v>
      </c>
      <c r="G57" s="23"/>
      <c r="H57" s="62" t="s">
        <v>167</v>
      </c>
      <c r="J57" s="60"/>
      <c r="K57" s="60"/>
      <c r="L57" s="101">
        <f t="shared" si="0"/>
        <v>0</v>
      </c>
      <c r="M57" s="101">
        <f t="shared" si="0"/>
        <v>0</v>
      </c>
      <c r="N57" s="101">
        <f t="shared" si="0"/>
        <v>3.4530744799792602E-2</v>
      </c>
      <c r="O57" s="101">
        <f t="shared" si="0"/>
        <v>6.6381013698021907E-2</v>
      </c>
      <c r="P57" s="101">
        <f t="shared" si="0"/>
        <v>0</v>
      </c>
      <c r="Q57" s="101">
        <f t="shared" si="0"/>
        <v>0.38323267678152101</v>
      </c>
      <c r="R57" s="101">
        <f t="shared" si="0"/>
        <v>0</v>
      </c>
      <c r="S57" s="101">
        <f t="shared" si="0"/>
        <v>0</v>
      </c>
      <c r="T57" s="60"/>
      <c r="U57" s="60"/>
    </row>
    <row r="58" spans="5:23" x14ac:dyDescent="0.35">
      <c r="F58" s="23" t="s">
        <v>839</v>
      </c>
      <c r="G58" s="23"/>
      <c r="H58" s="62" t="s">
        <v>167</v>
      </c>
      <c r="J58" s="60"/>
      <c r="K58" s="60"/>
      <c r="L58" s="101">
        <f t="shared" si="0"/>
        <v>0</v>
      </c>
      <c r="M58" s="101">
        <f t="shared" si="0"/>
        <v>0</v>
      </c>
      <c r="N58" s="101">
        <f t="shared" si="0"/>
        <v>1.2370413198693E-2</v>
      </c>
      <c r="O58" s="101">
        <f t="shared" si="0"/>
        <v>2.4400925983857801E-2</v>
      </c>
      <c r="P58" s="101">
        <f t="shared" si="0"/>
        <v>0</v>
      </c>
      <c r="Q58" s="101">
        <f t="shared" si="0"/>
        <v>0.34379931777325301</v>
      </c>
      <c r="R58" s="101">
        <f t="shared" si="0"/>
        <v>0.42351973684210498</v>
      </c>
      <c r="S58" s="101">
        <f t="shared" si="0"/>
        <v>0.95595667870036105</v>
      </c>
      <c r="T58" s="60"/>
      <c r="U58" s="60"/>
    </row>
    <row r="59" spans="5:23" x14ac:dyDescent="0.35">
      <c r="F59" s="23" t="s">
        <v>831</v>
      </c>
      <c r="G59" s="23"/>
      <c r="H59" s="62" t="s">
        <v>167</v>
      </c>
      <c r="J59" s="60"/>
      <c r="K59" s="60"/>
      <c r="L59" s="101">
        <f t="shared" si="0"/>
        <v>0</v>
      </c>
      <c r="M59" s="101">
        <f t="shared" si="0"/>
        <v>0</v>
      </c>
      <c r="N59" s="101">
        <f t="shared" si="0"/>
        <v>1.2370413198693E-2</v>
      </c>
      <c r="O59" s="101">
        <f t="shared" si="0"/>
        <v>2.4400925983857801E-2</v>
      </c>
      <c r="P59" s="101">
        <f t="shared" si="0"/>
        <v>0</v>
      </c>
      <c r="Q59" s="101">
        <f t="shared" si="0"/>
        <v>0.34379931777325301</v>
      </c>
      <c r="R59" s="101">
        <f t="shared" si="0"/>
        <v>0.42351973684210498</v>
      </c>
      <c r="S59" s="101">
        <f t="shared" si="0"/>
        <v>0.95595667870036105</v>
      </c>
      <c r="T59" s="60"/>
      <c r="U59" s="60"/>
    </row>
    <row r="60" spans="5:23" x14ac:dyDescent="0.35">
      <c r="F60" s="23" t="s">
        <v>832</v>
      </c>
      <c r="G60" s="23"/>
      <c r="H60" s="62" t="s">
        <v>167</v>
      </c>
      <c r="J60" s="60"/>
      <c r="K60" s="60"/>
      <c r="L60" s="101">
        <f t="shared" si="0"/>
        <v>0</v>
      </c>
      <c r="M60" s="101">
        <f t="shared" si="0"/>
        <v>0</v>
      </c>
      <c r="N60" s="101">
        <f t="shared" si="0"/>
        <v>1.2370413198693E-2</v>
      </c>
      <c r="O60" s="101">
        <f t="shared" si="0"/>
        <v>2.4400925983857801E-2</v>
      </c>
      <c r="P60" s="101">
        <f t="shared" si="0"/>
        <v>0</v>
      </c>
      <c r="Q60" s="101">
        <f t="shared" si="0"/>
        <v>0.34379931777325301</v>
      </c>
      <c r="R60" s="101">
        <f t="shared" si="0"/>
        <v>0.42351973684210498</v>
      </c>
      <c r="S60" s="101">
        <f t="shared" si="0"/>
        <v>0</v>
      </c>
      <c r="T60" s="60"/>
      <c r="U60" s="60"/>
    </row>
    <row r="61" spans="5:23" x14ac:dyDescent="0.35">
      <c r="F61" s="23" t="s">
        <v>833</v>
      </c>
      <c r="G61" s="23"/>
      <c r="H61" s="62" t="s">
        <v>167</v>
      </c>
      <c r="J61" s="60"/>
      <c r="K61" s="60"/>
      <c r="L61" s="101">
        <f t="shared" ref="L61:S66" si="1">$M31 * L$43 + $L31 * L$44 + $K31 * L$45 + $J31 * L$46</f>
        <v>0</v>
      </c>
      <c r="M61" s="101">
        <f t="shared" si="1"/>
        <v>0</v>
      </c>
      <c r="N61" s="101">
        <f t="shared" si="1"/>
        <v>1.2370413198693E-2</v>
      </c>
      <c r="O61" s="101">
        <f t="shared" si="1"/>
        <v>2.4400925983857801E-2</v>
      </c>
      <c r="P61" s="101">
        <f t="shared" si="1"/>
        <v>0</v>
      </c>
      <c r="Q61" s="101">
        <f t="shared" si="1"/>
        <v>0.34379931777325301</v>
      </c>
      <c r="R61" s="101">
        <f t="shared" si="1"/>
        <v>0.42351973684210498</v>
      </c>
      <c r="S61" s="101">
        <f t="shared" si="1"/>
        <v>0.95595667870036105</v>
      </c>
      <c r="T61" s="60"/>
      <c r="U61" s="60"/>
    </row>
    <row r="62" spans="5:23" x14ac:dyDescent="0.35">
      <c r="F62" s="23" t="s">
        <v>842</v>
      </c>
      <c r="G62" s="23"/>
      <c r="H62" s="62" t="s">
        <v>167</v>
      </c>
      <c r="J62" s="60"/>
      <c r="K62" s="60"/>
      <c r="L62" s="101">
        <f t="shared" si="1"/>
        <v>0</v>
      </c>
      <c r="M62" s="101">
        <f t="shared" si="1"/>
        <v>0</v>
      </c>
      <c r="N62" s="101">
        <f t="shared" si="1"/>
        <v>1.2370413198693E-2</v>
      </c>
      <c r="O62" s="101">
        <f t="shared" si="1"/>
        <v>2.4400925983857801E-2</v>
      </c>
      <c r="P62" s="101">
        <f t="shared" si="1"/>
        <v>0</v>
      </c>
      <c r="Q62" s="101">
        <f t="shared" si="1"/>
        <v>0.34379931777325301</v>
      </c>
      <c r="R62" s="101">
        <f t="shared" si="1"/>
        <v>0.42351973684210498</v>
      </c>
      <c r="S62" s="101">
        <f t="shared" si="1"/>
        <v>0.95595667870036105</v>
      </c>
      <c r="T62" s="60"/>
      <c r="U62" s="60"/>
    </row>
    <row r="63" spans="5:23" x14ac:dyDescent="0.35">
      <c r="F63" s="23" t="s">
        <v>834</v>
      </c>
      <c r="G63" s="23"/>
      <c r="H63" s="62" t="s">
        <v>167</v>
      </c>
      <c r="J63" s="60"/>
      <c r="K63" s="60"/>
      <c r="L63" s="101">
        <f t="shared" si="1"/>
        <v>0</v>
      </c>
      <c r="M63" s="101">
        <f t="shared" si="1"/>
        <v>0</v>
      </c>
      <c r="N63" s="101">
        <f t="shared" si="1"/>
        <v>1.2370413198693E-2</v>
      </c>
      <c r="O63" s="101">
        <f t="shared" si="1"/>
        <v>2.4400925983857801E-2</v>
      </c>
      <c r="P63" s="101">
        <f t="shared" si="1"/>
        <v>0</v>
      </c>
      <c r="Q63" s="101">
        <f t="shared" si="1"/>
        <v>0.34379931777325301</v>
      </c>
      <c r="R63" s="101">
        <f t="shared" si="1"/>
        <v>0.42351973684210498</v>
      </c>
      <c r="S63" s="101">
        <f t="shared" si="1"/>
        <v>0</v>
      </c>
      <c r="T63" s="60"/>
      <c r="U63" s="60"/>
    </row>
    <row r="64" spans="5:23" x14ac:dyDescent="0.35">
      <c r="F64" s="23" t="s">
        <v>841</v>
      </c>
      <c r="G64" s="23"/>
      <c r="H64" s="62" t="s">
        <v>167</v>
      </c>
      <c r="J64" s="60"/>
      <c r="K64" s="60"/>
      <c r="L64" s="101">
        <f t="shared" si="1"/>
        <v>0</v>
      </c>
      <c r="M64" s="101">
        <f t="shared" si="1"/>
        <v>0</v>
      </c>
      <c r="N64" s="101">
        <f t="shared" si="1"/>
        <v>1.2370413198693E-2</v>
      </c>
      <c r="O64" s="101">
        <f t="shared" si="1"/>
        <v>2.4400925983857801E-2</v>
      </c>
      <c r="P64" s="101">
        <f t="shared" si="1"/>
        <v>0</v>
      </c>
      <c r="Q64" s="101">
        <f t="shared" si="1"/>
        <v>0.34379931777325301</v>
      </c>
      <c r="R64" s="101">
        <f t="shared" si="1"/>
        <v>0.42351973684210498</v>
      </c>
      <c r="S64" s="101">
        <f t="shared" si="1"/>
        <v>0</v>
      </c>
      <c r="T64" s="60"/>
      <c r="U64" s="60"/>
    </row>
    <row r="65" spans="2:23" x14ac:dyDescent="0.35">
      <c r="F65" s="23" t="s">
        <v>835</v>
      </c>
      <c r="G65" s="23"/>
      <c r="H65" s="62" t="s">
        <v>167</v>
      </c>
      <c r="J65" s="60"/>
      <c r="K65" s="60"/>
      <c r="L65" s="101">
        <f t="shared" si="1"/>
        <v>0</v>
      </c>
      <c r="M65" s="101">
        <f t="shared" si="1"/>
        <v>0</v>
      </c>
      <c r="N65" s="101">
        <f t="shared" si="1"/>
        <v>3.4530744799792602E-2</v>
      </c>
      <c r="O65" s="101">
        <f t="shared" si="1"/>
        <v>6.6381013698021907E-2</v>
      </c>
      <c r="P65" s="101">
        <f t="shared" si="1"/>
        <v>0</v>
      </c>
      <c r="Q65" s="101">
        <f t="shared" si="1"/>
        <v>0.38323267678152101</v>
      </c>
      <c r="R65" s="101">
        <f t="shared" si="1"/>
        <v>0</v>
      </c>
      <c r="S65" s="101">
        <f t="shared" si="1"/>
        <v>0</v>
      </c>
      <c r="T65" s="60"/>
      <c r="U65" s="60"/>
    </row>
    <row r="66" spans="2:23" x14ac:dyDescent="0.35">
      <c r="F66" s="57" t="s">
        <v>840</v>
      </c>
      <c r="G66" s="57"/>
      <c r="H66" s="70" t="s">
        <v>167</v>
      </c>
      <c r="I66" s="28"/>
      <c r="J66" s="61"/>
      <c r="K66" s="61"/>
      <c r="L66" s="133">
        <f t="shared" si="1"/>
        <v>0</v>
      </c>
      <c r="M66" s="133">
        <f t="shared" si="1"/>
        <v>0</v>
      </c>
      <c r="N66" s="133">
        <f t="shared" si="1"/>
        <v>3.4530744799792602E-2</v>
      </c>
      <c r="O66" s="133">
        <f t="shared" si="1"/>
        <v>6.6381013698021907E-2</v>
      </c>
      <c r="P66" s="133">
        <f t="shared" si="1"/>
        <v>0</v>
      </c>
      <c r="Q66" s="133">
        <f t="shared" si="1"/>
        <v>0.38323267678152101</v>
      </c>
      <c r="R66" s="133">
        <f t="shared" si="1"/>
        <v>0</v>
      </c>
      <c r="S66" s="133">
        <f t="shared" si="1"/>
        <v>0</v>
      </c>
      <c r="T66" s="61"/>
      <c r="U66" s="61"/>
    </row>
    <row r="68" spans="2:23" x14ac:dyDescent="0.35">
      <c r="B68" s="25" t="s">
        <v>231</v>
      </c>
      <c r="C68" s="95"/>
      <c r="D68" s="94"/>
      <c r="E68" s="94"/>
      <c r="F68" s="95"/>
      <c r="G68" s="95"/>
      <c r="H68" s="95"/>
      <c r="I68" s="95"/>
      <c r="J68" s="95"/>
      <c r="K68" s="95"/>
      <c r="L68" s="95"/>
      <c r="M68" s="95"/>
      <c r="N68" s="95"/>
      <c r="O68" s="95"/>
      <c r="P68" s="95"/>
      <c r="Q68" s="95"/>
      <c r="R68" s="95"/>
      <c r="S68" s="95"/>
      <c r="T68" s="95"/>
      <c r="U68" s="95"/>
      <c r="V68" s="95"/>
      <c r="W68" s="95"/>
    </row>
    <row r="70" spans="2:23" x14ac:dyDescent="0.35">
      <c r="E70" t="s">
        <v>232</v>
      </c>
      <c r="G70" s="6" t="s">
        <v>55</v>
      </c>
      <c r="H70" s="93">
        <f t="array" ref="H70">SUM(IF(ISERROR(H21:U66), 1))</f>
        <v>0</v>
      </c>
    </row>
    <row r="72" spans="2:23" x14ac:dyDescent="0.35">
      <c r="B72" s="25" t="s">
        <v>106</v>
      </c>
      <c r="C72" s="95"/>
      <c r="D72" s="94"/>
      <c r="E72" s="94"/>
      <c r="F72" s="95"/>
      <c r="G72" s="95"/>
      <c r="H72" s="95"/>
      <c r="I72" s="95"/>
      <c r="J72" s="95"/>
      <c r="K72" s="95"/>
      <c r="L72" s="95"/>
      <c r="M72" s="95"/>
      <c r="N72" s="95"/>
      <c r="O72" s="95"/>
      <c r="P72" s="95"/>
      <c r="Q72" s="95"/>
      <c r="R72" s="95"/>
      <c r="S72" s="95"/>
      <c r="T72" s="95"/>
      <c r="U72" s="95"/>
      <c r="V72" s="95"/>
      <c r="W72" s="95"/>
    </row>
  </sheetData>
  <sheetProtection sheet="1" objects="1" formatCells="0" formatColumns="0" formatRows="0" sort="0" autoFilter="0"/>
  <conditionalFormatting sqref="A4:XFD4">
    <cfRule type="expression" dxfId="168" priority="3">
      <formula>LEFT($A$4,1) &lt;&gt; "0"</formula>
    </cfRule>
  </conditionalFormatting>
  <conditionalFormatting sqref="J5:U5">
    <cfRule type="expression" dxfId="167" priority="2">
      <formula>LEFT($A$4,1) &lt;&gt; "0"</formula>
    </cfRule>
  </conditionalFormatting>
  <conditionalFormatting sqref="H70">
    <cfRule type="cellIs" dxfId="166" priority="1" operator="greaterThan">
      <formula>0</formula>
    </cfRule>
  </conditionalFormatting>
  <hyperlinks>
    <hyperlink ref="B5:F5" location="'Model map'!A1" display="Click here to return to model map" xr:uid="{00000000-0004-0000-0B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41" width="17" hidden="1" customWidth="1"/>
    <col min="42" max="42" width="3.54296875" hidden="1" customWidth="1"/>
    <col min="43" max="43" width="18.453125" hidden="1" customWidth="1"/>
    <col min="44" max="44" width="4.453125" hidden="1" customWidth="1"/>
    <col min="45" max="45" width="24.54296875" hidden="1" customWidth="1"/>
    <col min="46" max="46" width="3.54296875" hidden="1" customWidth="1"/>
    <col min="47" max="47" width="15.453125" hidden="1" customWidth="1"/>
    <col min="48" max="323" width="24.54296875" hidden="1" customWidth="1"/>
    <col min="324" max="16384" width="8.54296875" hidden="1"/>
  </cols>
  <sheetData>
    <row r="1" spans="1:43" s="1" customFormat="1" x14ac:dyDescent="0.35">
      <c r="A1" s="1" t="str">
        <f ca="1">MID(CELL("filename",A1),FIND("]",CELL("filename",A1))+1,255)</f>
        <v>Volume adjustments</v>
      </c>
    </row>
    <row r="2" spans="1:43" s="1" customFormat="1" x14ac:dyDescent="0.35">
      <c r="A2" s="1" t="str">
        <f>Cover!D21&amp;" - "&amp;Cover!D23</f>
        <v>Southern Electric Power Distribution - Final</v>
      </c>
    </row>
    <row r="3" spans="1:43" s="5" customFormat="1" x14ac:dyDescent="0.35">
      <c r="A3" s="5" t="str">
        <f>Cover!D2&amp;" - "&amp;Cover!D8&amp;" v"&amp;Cover!D10&amp;" - "&amp;Cover!D19</f>
        <v>CDCM charging model - Release for charge setting v9 - 2024/25</v>
      </c>
    </row>
    <row r="4" spans="1:43" x14ac:dyDescent="0.35">
      <c r="A4" s="11" t="str">
        <f>H693 &amp; IF(H693 = 1, " issue", " issues") &amp;" identified in checks on this sheet"</f>
        <v>0 issues identified in checks on this sheet</v>
      </c>
      <c r="B4" s="12"/>
      <c r="C4" s="12"/>
      <c r="D4" s="12"/>
      <c r="E4" s="12"/>
      <c r="F4" s="12"/>
      <c r="G4" s="12"/>
      <c r="H4" s="13"/>
      <c r="I4" s="13"/>
    </row>
    <row r="5" spans="1:43" ht="43.5" x14ac:dyDescent="0.3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3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35">
      <c r="C9" s="24" t="s">
        <v>417</v>
      </c>
    </row>
    <row r="10" spans="1:43" x14ac:dyDescent="0.35">
      <c r="C10" s="24" t="s">
        <v>418</v>
      </c>
    </row>
    <row r="11" spans="1:43" x14ac:dyDescent="0.35">
      <c r="C11" s="24" t="s">
        <v>419</v>
      </c>
    </row>
    <row r="13" spans="1:43" x14ac:dyDescent="0.35">
      <c r="B13" s="25" t="s">
        <v>420</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C13" s="25"/>
      <c r="AD13" s="25"/>
      <c r="AE13" s="25"/>
      <c r="AF13" s="25"/>
      <c r="AG13" s="25"/>
      <c r="AH13" s="25"/>
      <c r="AI13" s="25"/>
      <c r="AJ13" s="25"/>
      <c r="AK13" s="25"/>
      <c r="AL13" s="25"/>
      <c r="AM13" s="25"/>
      <c r="AN13" s="25"/>
      <c r="AO13" s="25"/>
      <c r="AQ13" s="25"/>
    </row>
    <row r="14" spans="1:43" x14ac:dyDescent="0.35">
      <c r="C14" s="24"/>
    </row>
    <row r="15" spans="1:43" x14ac:dyDescent="0.35">
      <c r="C15" s="26" t="str">
        <f ca="1">INDEX('Version control'!$H$38:$H$61,MATCH($A$1,'Version control'!$F$38:$F$61,0),1)&amp;"-A: LDNO discounts"</f>
        <v>Section 104-A: LDNO discounts</v>
      </c>
      <c r="D15" s="26"/>
      <c r="E15" s="26"/>
      <c r="F15" s="26"/>
      <c r="G15" s="26"/>
      <c r="H15" s="26"/>
      <c r="I15" s="26"/>
      <c r="J15" s="26"/>
      <c r="K15" s="26"/>
      <c r="L15" s="26"/>
      <c r="M15" s="26"/>
      <c r="N15" s="26"/>
      <c r="O15" s="26"/>
      <c r="P15" s="26"/>
      <c r="Q15" s="26"/>
      <c r="R15" s="26"/>
      <c r="S15" s="26"/>
      <c r="T15" s="26"/>
      <c r="U15" s="26"/>
      <c r="V15" s="26"/>
      <c r="W15" s="26"/>
      <c r="X15" s="26"/>
      <c r="Y15" s="26"/>
      <c r="Z15" s="26"/>
      <c r="AA15" s="26"/>
      <c r="AC15" s="25"/>
      <c r="AD15" s="25"/>
      <c r="AE15" s="25"/>
      <c r="AF15" s="25"/>
      <c r="AG15" s="25"/>
      <c r="AH15" s="25"/>
      <c r="AI15" s="25"/>
      <c r="AJ15" s="25"/>
      <c r="AK15" s="25"/>
      <c r="AL15" s="25"/>
      <c r="AM15" s="25"/>
      <c r="AN15" s="25"/>
      <c r="AO15" s="25"/>
      <c r="AQ15" s="25"/>
    </row>
    <row r="16" spans="1:43" x14ac:dyDescent="0.35">
      <c r="C16" s="24"/>
    </row>
    <row r="17" spans="4:43" x14ac:dyDescent="0.35">
      <c r="D17" s="24" t="s">
        <v>421</v>
      </c>
    </row>
    <row r="18" spans="4:43" x14ac:dyDescent="0.35">
      <c r="D18" s="24" t="s">
        <v>422</v>
      </c>
    </row>
    <row r="19" spans="4:43" x14ac:dyDescent="0.35">
      <c r="D19" s="24"/>
    </row>
    <row r="20" spans="4:43" x14ac:dyDescent="0.35">
      <c r="E20" s="78" t="s">
        <v>423</v>
      </c>
      <c r="I20" t="s">
        <v>154</v>
      </c>
      <c r="J20" s="53"/>
      <c r="K20" s="53"/>
      <c r="L20" s="53"/>
      <c r="M20" s="53"/>
      <c r="N20" s="53"/>
      <c r="O20" s="53"/>
      <c r="P20" s="53"/>
      <c r="Q20" s="53"/>
      <c r="R20" s="53"/>
      <c r="S20" s="53"/>
      <c r="T20" s="53"/>
      <c r="U20" s="53"/>
      <c r="V20" s="53"/>
      <c r="W20" s="53"/>
      <c r="X20" s="53"/>
      <c r="Y20" s="53"/>
    </row>
    <row r="21" spans="4:43" x14ac:dyDescent="0.35">
      <c r="E21" s="24" t="s">
        <v>424</v>
      </c>
      <c r="AA21" t="s">
        <v>425</v>
      </c>
    </row>
    <row r="22" spans="4:43" x14ac:dyDescent="0.35">
      <c r="F22" s="19" t="s">
        <v>175</v>
      </c>
      <c r="G22" s="19" t="s">
        <v>167</v>
      </c>
      <c r="H22" s="97">
        <f>'General inputs'!H30</f>
        <v>0.37097391060683016</v>
      </c>
      <c r="AQ22" s="3"/>
    </row>
    <row r="23" spans="4:43" x14ac:dyDescent="0.35">
      <c r="F23" t="s">
        <v>177</v>
      </c>
      <c r="G23" t="s">
        <v>167</v>
      </c>
      <c r="H23" s="21">
        <f>'General inputs'!H31</f>
        <v>0.54529202281657996</v>
      </c>
      <c r="AQ23" s="3"/>
    </row>
    <row r="24" spans="4:43" x14ac:dyDescent="0.35">
      <c r="F24" t="s">
        <v>178</v>
      </c>
      <c r="G24" t="s">
        <v>167</v>
      </c>
      <c r="H24" s="21">
        <f>'General inputs'!H32</f>
        <v>0.25951924258539139</v>
      </c>
      <c r="AQ24" s="3"/>
    </row>
    <row r="25" spans="4:43" x14ac:dyDescent="0.35">
      <c r="F25" s="28" t="s">
        <v>179</v>
      </c>
      <c r="G25" s="28" t="s">
        <v>167</v>
      </c>
      <c r="H25" s="131">
        <f>'General inputs'!H33</f>
        <v>0.15142745426120777</v>
      </c>
      <c r="AQ25" s="3"/>
    </row>
    <row r="27" spans="4:43" x14ac:dyDescent="0.35">
      <c r="E27" s="27" t="s">
        <v>426</v>
      </c>
      <c r="I27" t="s">
        <v>154</v>
      </c>
      <c r="AA27" t="s">
        <v>427</v>
      </c>
      <c r="AQ27" s="3"/>
    </row>
    <row r="28" spans="4:43" x14ac:dyDescent="0.35">
      <c r="E28" s="24" t="s">
        <v>428</v>
      </c>
    </row>
    <row r="29" spans="4:43" x14ac:dyDescent="0.35">
      <c r="E29" s="24" t="s">
        <v>429</v>
      </c>
    </row>
    <row r="30" spans="4:43" x14ac:dyDescent="0.35">
      <c r="F30" s="19" t="s">
        <v>175</v>
      </c>
      <c r="G30" s="19" t="s">
        <v>176</v>
      </c>
      <c r="H30" s="19"/>
      <c r="I30" s="19"/>
      <c r="J30" s="134">
        <f>'Fixed inputs'!J46</f>
        <v>1</v>
      </c>
      <c r="K30" s="134">
        <f>'Fixed inputs'!K46</f>
        <v>1</v>
      </c>
      <c r="L30" s="134">
        <f>'Fixed inputs'!L46</f>
        <v>1</v>
      </c>
      <c r="M30" s="134">
        <f>'Fixed inputs'!M46</f>
        <v>1</v>
      </c>
      <c r="N30" s="134">
        <f>'Fixed inputs'!N46</f>
        <v>1</v>
      </c>
      <c r="O30" s="134">
        <f>'Fixed inputs'!O46</f>
        <v>0</v>
      </c>
      <c r="P30" s="134">
        <f>'Fixed inputs'!P46</f>
        <v>0</v>
      </c>
      <c r="Q30" s="134">
        <f>'Fixed inputs'!Q46</f>
        <v>1</v>
      </c>
      <c r="R30" s="134">
        <f>'Fixed inputs'!R46</f>
        <v>0</v>
      </c>
      <c r="S30" s="134">
        <f>'Fixed inputs'!S46</f>
        <v>0</v>
      </c>
      <c r="T30" s="134">
        <f>'Fixed inputs'!T46</f>
        <v>0</v>
      </c>
      <c r="U30" s="134">
        <f>'Fixed inputs'!U46</f>
        <v>0</v>
      </c>
      <c r="V30" s="134">
        <f>'Fixed inputs'!V46</f>
        <v>0</v>
      </c>
      <c r="W30" s="134">
        <f>'Fixed inputs'!W46</f>
        <v>0</v>
      </c>
      <c r="X30" s="134">
        <f>'Fixed inputs'!X46</f>
        <v>0</v>
      </c>
      <c r="Y30" s="134">
        <f>'Fixed inputs'!Y46</f>
        <v>0</v>
      </c>
      <c r="AQ30" s="3"/>
    </row>
    <row r="31" spans="4:43" x14ac:dyDescent="0.35">
      <c r="F31" t="s">
        <v>177</v>
      </c>
      <c r="G31" t="s">
        <v>176</v>
      </c>
      <c r="J31" s="127">
        <f>'Fixed inputs'!J47</f>
        <v>1</v>
      </c>
      <c r="K31" s="127">
        <f>'Fixed inputs'!K47</f>
        <v>1</v>
      </c>
      <c r="L31" s="127">
        <f>'Fixed inputs'!L47</f>
        <v>1</v>
      </c>
      <c r="M31" s="127">
        <f>'Fixed inputs'!M47</f>
        <v>1</v>
      </c>
      <c r="N31" s="127">
        <f>'Fixed inputs'!N47</f>
        <v>1</v>
      </c>
      <c r="O31" s="127">
        <f>'Fixed inputs'!O47</f>
        <v>0</v>
      </c>
      <c r="P31" s="127">
        <f>'Fixed inputs'!P47</f>
        <v>0</v>
      </c>
      <c r="Q31" s="127">
        <f>'Fixed inputs'!Q47</f>
        <v>1</v>
      </c>
      <c r="R31" s="127">
        <f>'Fixed inputs'!R47</f>
        <v>0</v>
      </c>
      <c r="S31" s="127">
        <f>'Fixed inputs'!S47</f>
        <v>0</v>
      </c>
      <c r="T31" s="127">
        <f>'Fixed inputs'!T47</f>
        <v>0</v>
      </c>
      <c r="U31" s="127">
        <f>'Fixed inputs'!U47</f>
        <v>0</v>
      </c>
      <c r="V31" s="127">
        <f>'Fixed inputs'!V47</f>
        <v>0</v>
      </c>
      <c r="W31" s="127">
        <f>'Fixed inputs'!W47</f>
        <v>0</v>
      </c>
      <c r="X31" s="127">
        <f>'Fixed inputs'!X47</f>
        <v>0</v>
      </c>
      <c r="Y31" s="127">
        <f>'Fixed inputs'!Y47</f>
        <v>0</v>
      </c>
      <c r="AQ31" s="3"/>
    </row>
    <row r="32" spans="4:43" x14ac:dyDescent="0.35">
      <c r="F32" t="s">
        <v>178</v>
      </c>
      <c r="G32" t="s">
        <v>176</v>
      </c>
      <c r="J32" s="127">
        <f>'Fixed inputs'!J48</f>
        <v>0</v>
      </c>
      <c r="K32" s="127">
        <f>'Fixed inputs'!K48</f>
        <v>0</v>
      </c>
      <c r="L32" s="127">
        <f>'Fixed inputs'!L48</f>
        <v>0</v>
      </c>
      <c r="M32" s="127">
        <f>'Fixed inputs'!M48</f>
        <v>0</v>
      </c>
      <c r="N32" s="127">
        <f>'Fixed inputs'!N48</f>
        <v>0</v>
      </c>
      <c r="O32" s="127">
        <f>'Fixed inputs'!O48</f>
        <v>1</v>
      </c>
      <c r="P32" s="127">
        <f>'Fixed inputs'!P48</f>
        <v>0</v>
      </c>
      <c r="Q32" s="127">
        <f>'Fixed inputs'!Q48</f>
        <v>0</v>
      </c>
      <c r="R32" s="127">
        <f>'Fixed inputs'!R48</f>
        <v>0</v>
      </c>
      <c r="S32" s="127">
        <f>'Fixed inputs'!S48</f>
        <v>0</v>
      </c>
      <c r="T32" s="127">
        <f>'Fixed inputs'!T48</f>
        <v>0</v>
      </c>
      <c r="U32" s="127">
        <f>'Fixed inputs'!U48</f>
        <v>0</v>
      </c>
      <c r="V32" s="127">
        <f>'Fixed inputs'!V48</f>
        <v>0</v>
      </c>
      <c r="W32" s="127">
        <f>'Fixed inputs'!W48</f>
        <v>0</v>
      </c>
      <c r="X32" s="127">
        <f>'Fixed inputs'!X48</f>
        <v>0</v>
      </c>
      <c r="Y32" s="127">
        <f>'Fixed inputs'!Y48</f>
        <v>0</v>
      </c>
      <c r="AQ32" s="3"/>
    </row>
    <row r="33" spans="4:43" x14ac:dyDescent="0.35">
      <c r="F33" s="28" t="s">
        <v>179</v>
      </c>
      <c r="G33" s="28" t="s">
        <v>176</v>
      </c>
      <c r="H33" s="28"/>
      <c r="I33" s="28"/>
      <c r="J33" s="128">
        <f>'Fixed inputs'!J49</f>
        <v>0</v>
      </c>
      <c r="K33" s="128">
        <f>'Fixed inputs'!K49</f>
        <v>0</v>
      </c>
      <c r="L33" s="128">
        <f>'Fixed inputs'!L49</f>
        <v>0</v>
      </c>
      <c r="M33" s="128">
        <f>'Fixed inputs'!M49</f>
        <v>0</v>
      </c>
      <c r="N33" s="128">
        <f>'Fixed inputs'!N49</f>
        <v>0</v>
      </c>
      <c r="O33" s="128">
        <f>'Fixed inputs'!O49</f>
        <v>0</v>
      </c>
      <c r="P33" s="128">
        <f>'Fixed inputs'!P49</f>
        <v>1</v>
      </c>
      <c r="Q33" s="128">
        <f>'Fixed inputs'!Q49</f>
        <v>0</v>
      </c>
      <c r="R33" s="128">
        <f>'Fixed inputs'!R49</f>
        <v>0</v>
      </c>
      <c r="S33" s="128">
        <f>'Fixed inputs'!S49</f>
        <v>0</v>
      </c>
      <c r="T33" s="128">
        <f>'Fixed inputs'!T49</f>
        <v>0</v>
      </c>
      <c r="U33" s="128">
        <f>'Fixed inputs'!U49</f>
        <v>0</v>
      </c>
      <c r="V33" s="128">
        <f>'Fixed inputs'!V49</f>
        <v>0</v>
      </c>
      <c r="W33" s="128">
        <f>'Fixed inputs'!W49</f>
        <v>0</v>
      </c>
      <c r="X33" s="128">
        <f>'Fixed inputs'!X49</f>
        <v>0</v>
      </c>
      <c r="Y33" s="128">
        <f>'Fixed inputs'!Y49</f>
        <v>0</v>
      </c>
      <c r="AQ33" s="3"/>
    </row>
    <row r="34" spans="4:43" x14ac:dyDescent="0.35">
      <c r="F34" s="23" t="s">
        <v>430</v>
      </c>
      <c r="G34" s="23" t="s">
        <v>167</v>
      </c>
      <c r="J34" s="135">
        <f t="shared" ref="J34:Y34" si="0">J30 * $H$22</f>
        <v>0.37097391060683016</v>
      </c>
      <c r="K34" s="135">
        <f t="shared" si="0"/>
        <v>0.37097391060683016</v>
      </c>
      <c r="L34" s="135">
        <f t="shared" si="0"/>
        <v>0.37097391060683016</v>
      </c>
      <c r="M34" s="135">
        <f t="shared" si="0"/>
        <v>0.37097391060683016</v>
      </c>
      <c r="N34" s="135">
        <f t="shared" si="0"/>
        <v>0.37097391060683016</v>
      </c>
      <c r="O34" s="135">
        <f t="shared" si="0"/>
        <v>0</v>
      </c>
      <c r="P34" s="135">
        <f t="shared" si="0"/>
        <v>0</v>
      </c>
      <c r="Q34" s="135">
        <f t="shared" si="0"/>
        <v>0.37097391060683016</v>
      </c>
      <c r="R34" s="135">
        <f t="shared" si="0"/>
        <v>0</v>
      </c>
      <c r="S34" s="135">
        <f t="shared" si="0"/>
        <v>0</v>
      </c>
      <c r="T34" s="135">
        <f t="shared" si="0"/>
        <v>0</v>
      </c>
      <c r="U34" s="135">
        <f t="shared" si="0"/>
        <v>0</v>
      </c>
      <c r="V34" s="135">
        <f t="shared" si="0"/>
        <v>0</v>
      </c>
      <c r="W34" s="135">
        <f t="shared" si="0"/>
        <v>0</v>
      </c>
      <c r="X34" s="135">
        <f t="shared" si="0"/>
        <v>0</v>
      </c>
      <c r="Y34" s="135">
        <f t="shared" si="0"/>
        <v>0</v>
      </c>
      <c r="AQ34" s="3"/>
    </row>
    <row r="35" spans="4:43" x14ac:dyDescent="0.35">
      <c r="F35" s="23" t="s">
        <v>431</v>
      </c>
      <c r="G35" s="23" t="s">
        <v>167</v>
      </c>
      <c r="J35" s="135">
        <f t="shared" ref="J35:Y35" si="1">SUMPRODUCT(J31:J33,$H$23:$H$25)</f>
        <v>0.54529202281657996</v>
      </c>
      <c r="K35" s="135">
        <f t="shared" si="1"/>
        <v>0.54529202281657996</v>
      </c>
      <c r="L35" s="135">
        <f t="shared" si="1"/>
        <v>0.54529202281657996</v>
      </c>
      <c r="M35" s="135">
        <f t="shared" si="1"/>
        <v>0.54529202281657996</v>
      </c>
      <c r="N35" s="135">
        <f t="shared" si="1"/>
        <v>0.54529202281657996</v>
      </c>
      <c r="O35" s="135">
        <f t="shared" si="1"/>
        <v>0.25951924258539139</v>
      </c>
      <c r="P35" s="135">
        <f t="shared" si="1"/>
        <v>0.15142745426120777</v>
      </c>
      <c r="Q35" s="135">
        <f t="shared" si="1"/>
        <v>0.54529202281657996</v>
      </c>
      <c r="R35" s="135">
        <f t="shared" si="1"/>
        <v>0</v>
      </c>
      <c r="S35" s="135">
        <f t="shared" si="1"/>
        <v>0</v>
      </c>
      <c r="T35" s="135">
        <f t="shared" si="1"/>
        <v>0</v>
      </c>
      <c r="U35" s="135">
        <f t="shared" si="1"/>
        <v>0</v>
      </c>
      <c r="V35" s="135">
        <f t="shared" si="1"/>
        <v>0</v>
      </c>
      <c r="W35" s="135">
        <f t="shared" si="1"/>
        <v>0</v>
      </c>
      <c r="X35" s="135">
        <f t="shared" si="1"/>
        <v>0</v>
      </c>
      <c r="Y35" s="135">
        <f t="shared" si="1"/>
        <v>0</v>
      </c>
      <c r="AQ35" s="3"/>
    </row>
    <row r="36" spans="4:43" x14ac:dyDescent="0.35">
      <c r="D36" s="27"/>
      <c r="AQ36" s="3"/>
    </row>
    <row r="37" spans="4:43" x14ac:dyDescent="0.35">
      <c r="E37" s="27" t="s">
        <v>432</v>
      </c>
      <c r="I37" t="s">
        <v>154</v>
      </c>
      <c r="AA37" t="s">
        <v>427</v>
      </c>
      <c r="AQ37" s="3"/>
    </row>
    <row r="38" spans="4:43" x14ac:dyDescent="0.35">
      <c r="E38" s="24" t="s">
        <v>433</v>
      </c>
    </row>
    <row r="39" spans="4:43" x14ac:dyDescent="0.35">
      <c r="F39" s="23" t="s">
        <v>434</v>
      </c>
      <c r="G39" s="23" t="s">
        <v>209</v>
      </c>
      <c r="J39" s="136" t="b">
        <f>'Fixed inputs'!J105</f>
        <v>0</v>
      </c>
      <c r="K39" s="136" t="b">
        <f>'Fixed inputs'!K105</f>
        <v>0</v>
      </c>
      <c r="L39" s="136" t="b">
        <f>'Fixed inputs'!L105</f>
        <v>0</v>
      </c>
      <c r="M39" s="136" t="b">
        <f>'Fixed inputs'!M105</f>
        <v>0</v>
      </c>
      <c r="N39" s="136" t="b">
        <f>'Fixed inputs'!N105</f>
        <v>0</v>
      </c>
      <c r="O39" s="136" t="b">
        <f>'Fixed inputs'!O105</f>
        <v>0</v>
      </c>
      <c r="P39" s="136" t="b">
        <f>'Fixed inputs'!P105</f>
        <v>0</v>
      </c>
      <c r="Q39" s="136" t="b">
        <f>'Fixed inputs'!Q105</f>
        <v>0</v>
      </c>
      <c r="R39" s="136" t="b">
        <f>'Fixed inputs'!R105</f>
        <v>1</v>
      </c>
      <c r="S39" s="136" t="b">
        <f>'Fixed inputs'!S105</f>
        <v>1</v>
      </c>
      <c r="T39" s="136" t="b">
        <f>'Fixed inputs'!T105</f>
        <v>1</v>
      </c>
      <c r="U39" s="136" t="b">
        <f>'Fixed inputs'!U105</f>
        <v>1</v>
      </c>
      <c r="V39" s="136" t="b">
        <f>'Fixed inputs'!V105</f>
        <v>1</v>
      </c>
      <c r="W39" s="136" t="b">
        <f>'Fixed inputs'!W105</f>
        <v>1</v>
      </c>
      <c r="X39" s="136" t="b">
        <f>'Fixed inputs'!X105</f>
        <v>1</v>
      </c>
      <c r="Y39" s="136" t="b">
        <f>'Fixed inputs'!Y105</f>
        <v>1</v>
      </c>
      <c r="AQ39" s="3"/>
    </row>
    <row r="40" spans="4:43" x14ac:dyDescent="0.35">
      <c r="F40" s="23" t="s">
        <v>435</v>
      </c>
      <c r="G40" s="23" t="s">
        <v>209</v>
      </c>
      <c r="J40" s="136" t="b">
        <f>'Fixed inputs'!J109</f>
        <v>0</v>
      </c>
      <c r="K40" s="136" t="b">
        <f>'Fixed inputs'!K109</f>
        <v>0</v>
      </c>
      <c r="L40" s="136" t="b">
        <f>'Fixed inputs'!L109</f>
        <v>0</v>
      </c>
      <c r="M40" s="136" t="b">
        <f>'Fixed inputs'!M109</f>
        <v>0</v>
      </c>
      <c r="N40" s="136" t="b">
        <f>'Fixed inputs'!N109</f>
        <v>0</v>
      </c>
      <c r="O40" s="136" t="b">
        <f>'Fixed inputs'!O109</f>
        <v>0</v>
      </c>
      <c r="P40" s="136" t="b">
        <f>'Fixed inputs'!P109</f>
        <v>0</v>
      </c>
      <c r="Q40" s="136" t="b">
        <f>'Fixed inputs'!Q109</f>
        <v>0</v>
      </c>
      <c r="R40" s="136" t="b">
        <f>'Fixed inputs'!R109</f>
        <v>1</v>
      </c>
      <c r="S40" s="136" t="b">
        <f>'Fixed inputs'!S109</f>
        <v>1</v>
      </c>
      <c r="T40" s="136" t="b">
        <f>'Fixed inputs'!T109</f>
        <v>1</v>
      </c>
      <c r="U40" s="136" t="b">
        <f>'Fixed inputs'!U109</f>
        <v>1</v>
      </c>
      <c r="V40" s="136" t="b">
        <f>'Fixed inputs'!V109</f>
        <v>1</v>
      </c>
      <c r="W40" s="136" t="b">
        <f>'Fixed inputs'!W109</f>
        <v>1</v>
      </c>
      <c r="X40" s="136" t="b">
        <f>'Fixed inputs'!X109</f>
        <v>1</v>
      </c>
      <c r="Y40" s="136" t="b">
        <f>'Fixed inputs'!Y109</f>
        <v>1</v>
      </c>
      <c r="AQ40" s="3"/>
    </row>
    <row r="41" spans="4:43" x14ac:dyDescent="0.35">
      <c r="F41" s="23" t="s">
        <v>436</v>
      </c>
      <c r="G41" s="23" t="s">
        <v>209</v>
      </c>
      <c r="J41" s="136" t="b">
        <f>'Fixed inputs'!J113</f>
        <v>0</v>
      </c>
      <c r="K41" s="136" t="b">
        <f>'Fixed inputs'!K113</f>
        <v>0</v>
      </c>
      <c r="L41" s="136" t="b">
        <f>'Fixed inputs'!L113</f>
        <v>0</v>
      </c>
      <c r="M41" s="136" t="b">
        <f>'Fixed inputs'!M113</f>
        <v>0</v>
      </c>
      <c r="N41" s="136" t="b">
        <f>'Fixed inputs'!N113</f>
        <v>0</v>
      </c>
      <c r="O41" s="136" t="b">
        <f>'Fixed inputs'!O113</f>
        <v>0</v>
      </c>
      <c r="P41" s="136" t="b">
        <f>'Fixed inputs'!P113</f>
        <v>0</v>
      </c>
      <c r="Q41" s="136" t="b">
        <f>'Fixed inputs'!Q113</f>
        <v>0</v>
      </c>
      <c r="R41" s="136" t="b">
        <f>'Fixed inputs'!R113</f>
        <v>1</v>
      </c>
      <c r="S41" s="136" t="b">
        <f>'Fixed inputs'!S113</f>
        <v>1</v>
      </c>
      <c r="T41" s="136" t="b">
        <f>'Fixed inputs'!T113</f>
        <v>1</v>
      </c>
      <c r="U41" s="136" t="b">
        <f>'Fixed inputs'!U113</f>
        <v>1</v>
      </c>
      <c r="V41" s="136" t="b">
        <f>'Fixed inputs'!V113</f>
        <v>1</v>
      </c>
      <c r="W41" s="136" t="b">
        <f>'Fixed inputs'!W113</f>
        <v>1</v>
      </c>
      <c r="X41" s="136" t="b">
        <f>'Fixed inputs'!X113</f>
        <v>1</v>
      </c>
      <c r="Y41" s="136" t="b">
        <f>'Fixed inputs'!Y113</f>
        <v>1</v>
      </c>
      <c r="AQ41" s="3"/>
    </row>
    <row r="42" spans="4:43" x14ac:dyDescent="0.35">
      <c r="F42" s="23" t="s">
        <v>437</v>
      </c>
      <c r="G42" s="23" t="s">
        <v>209</v>
      </c>
      <c r="J42" s="136" t="b">
        <f>'Fixed inputs'!J117</f>
        <v>0</v>
      </c>
      <c r="K42" s="136" t="b">
        <f>'Fixed inputs'!K117</f>
        <v>0</v>
      </c>
      <c r="L42" s="136" t="b">
        <f>'Fixed inputs'!L117</f>
        <v>0</v>
      </c>
      <c r="M42" s="136" t="b">
        <f>'Fixed inputs'!M117</f>
        <v>0</v>
      </c>
      <c r="N42" s="136" t="b">
        <f>'Fixed inputs'!N117</f>
        <v>0</v>
      </c>
      <c r="O42" s="136" t="b">
        <f>'Fixed inputs'!O117</f>
        <v>0</v>
      </c>
      <c r="P42" s="136" t="b">
        <f>'Fixed inputs'!P117</f>
        <v>0</v>
      </c>
      <c r="Q42" s="136" t="b">
        <f>'Fixed inputs'!Q117</f>
        <v>0</v>
      </c>
      <c r="R42" s="136" t="b">
        <f>'Fixed inputs'!R117</f>
        <v>1</v>
      </c>
      <c r="S42" s="136" t="b">
        <f>'Fixed inputs'!S117</f>
        <v>1</v>
      </c>
      <c r="T42" s="136" t="b">
        <f>'Fixed inputs'!T117</f>
        <v>1</v>
      </c>
      <c r="U42" s="136" t="b">
        <f>'Fixed inputs'!U117</f>
        <v>1</v>
      </c>
      <c r="V42" s="136" t="b">
        <f>'Fixed inputs'!V117</f>
        <v>1</v>
      </c>
      <c r="W42" s="136" t="b">
        <f>'Fixed inputs'!W117</f>
        <v>1</v>
      </c>
      <c r="X42" s="136" t="b">
        <f>'Fixed inputs'!X117</f>
        <v>1</v>
      </c>
      <c r="Y42" s="136" t="b">
        <f>'Fixed inputs'!Y117</f>
        <v>1</v>
      </c>
      <c r="AQ42" s="3"/>
    </row>
    <row r="43" spans="4:43" x14ac:dyDescent="0.35">
      <c r="F43" s="23" t="s">
        <v>438</v>
      </c>
      <c r="G43" s="23" t="s">
        <v>209</v>
      </c>
      <c r="J43" s="136" t="b">
        <f>'Fixed inputs'!J121</f>
        <v>0</v>
      </c>
      <c r="K43" s="136" t="b">
        <f>'Fixed inputs'!K121</f>
        <v>0</v>
      </c>
      <c r="L43" s="136" t="b">
        <f>'Fixed inputs'!L121</f>
        <v>0</v>
      </c>
      <c r="M43" s="136" t="b">
        <f>'Fixed inputs'!M121</f>
        <v>0</v>
      </c>
      <c r="N43" s="136" t="b">
        <f>'Fixed inputs'!N121</f>
        <v>0</v>
      </c>
      <c r="O43" s="136" t="b">
        <f>'Fixed inputs'!O121</f>
        <v>0</v>
      </c>
      <c r="P43" s="136" t="b">
        <f>'Fixed inputs'!P121</f>
        <v>0</v>
      </c>
      <c r="Q43" s="136" t="b">
        <f>'Fixed inputs'!Q121</f>
        <v>0</v>
      </c>
      <c r="R43" s="136" t="b">
        <f>'Fixed inputs'!R121</f>
        <v>1</v>
      </c>
      <c r="S43" s="136" t="b">
        <f>'Fixed inputs'!S121</f>
        <v>1</v>
      </c>
      <c r="T43" s="136" t="b">
        <f>'Fixed inputs'!T121</f>
        <v>1</v>
      </c>
      <c r="U43" s="136" t="b">
        <f>'Fixed inputs'!U121</f>
        <v>1</v>
      </c>
      <c r="V43" s="136" t="b">
        <f>'Fixed inputs'!V121</f>
        <v>1</v>
      </c>
      <c r="W43" s="136" t="b">
        <f>'Fixed inputs'!W121</f>
        <v>1</v>
      </c>
      <c r="X43" s="136" t="b">
        <f>'Fixed inputs'!X121</f>
        <v>1</v>
      </c>
      <c r="Y43" s="136" t="b">
        <f>'Fixed inputs'!Y121</f>
        <v>1</v>
      </c>
      <c r="AQ43" s="3"/>
    </row>
    <row r="44" spans="4:43" x14ac:dyDescent="0.35">
      <c r="D44" s="27"/>
      <c r="AQ44" s="3"/>
    </row>
    <row r="45" spans="4:43" x14ac:dyDescent="0.35">
      <c r="F45" s="23" t="s">
        <v>439</v>
      </c>
      <c r="G45" s="23" t="s">
        <v>167</v>
      </c>
      <c r="J45" s="21">
        <f>'Fixed inputs'!J106</f>
        <v>0</v>
      </c>
      <c r="K45" s="21">
        <f>'Fixed inputs'!K106</f>
        <v>0</v>
      </c>
      <c r="L45" s="21">
        <f>'Fixed inputs'!L106</f>
        <v>0</v>
      </c>
      <c r="M45" s="21">
        <f>'Fixed inputs'!M106</f>
        <v>0</v>
      </c>
      <c r="N45" s="21">
        <f>'Fixed inputs'!N106</f>
        <v>0</v>
      </c>
      <c r="O45" s="21">
        <f>'Fixed inputs'!O106</f>
        <v>0</v>
      </c>
      <c r="P45" s="21">
        <f>'Fixed inputs'!P106</f>
        <v>0</v>
      </c>
      <c r="Q45" s="21">
        <f>'Fixed inputs'!Q106</f>
        <v>0</v>
      </c>
      <c r="R45" s="21">
        <f>'Fixed inputs'!R106</f>
        <v>0</v>
      </c>
      <c r="S45" s="21">
        <f>'Fixed inputs'!S106</f>
        <v>0</v>
      </c>
      <c r="T45" s="21">
        <f>'Fixed inputs'!T106</f>
        <v>0</v>
      </c>
      <c r="U45" s="21">
        <f>'Fixed inputs'!U106</f>
        <v>0</v>
      </c>
      <c r="V45" s="21">
        <f>'Fixed inputs'!V106</f>
        <v>0</v>
      </c>
      <c r="W45" s="21">
        <f>'Fixed inputs'!W106</f>
        <v>0</v>
      </c>
      <c r="X45" s="21">
        <f>'Fixed inputs'!X106</f>
        <v>0</v>
      </c>
      <c r="Y45" s="21">
        <f>'Fixed inputs'!Y106</f>
        <v>0</v>
      </c>
      <c r="AQ45" s="3"/>
    </row>
    <row r="46" spans="4:43" x14ac:dyDescent="0.35">
      <c r="F46" s="23" t="s">
        <v>440</v>
      </c>
      <c r="G46" s="23" t="s">
        <v>167</v>
      </c>
      <c r="J46" s="21">
        <f>'Fixed inputs'!J110</f>
        <v>0</v>
      </c>
      <c r="K46" s="21">
        <f>'Fixed inputs'!K110</f>
        <v>0</v>
      </c>
      <c r="L46" s="21">
        <f>'Fixed inputs'!L110</f>
        <v>0</v>
      </c>
      <c r="M46" s="21">
        <f>'Fixed inputs'!M110</f>
        <v>0</v>
      </c>
      <c r="N46" s="21">
        <f>'Fixed inputs'!N110</f>
        <v>0</v>
      </c>
      <c r="O46" s="21">
        <f>'Fixed inputs'!O110</f>
        <v>0</v>
      </c>
      <c r="P46" s="21">
        <f>'Fixed inputs'!P110</f>
        <v>0</v>
      </c>
      <c r="Q46" s="21">
        <f>'Fixed inputs'!Q110</f>
        <v>0</v>
      </c>
      <c r="R46" s="21">
        <f>'Fixed inputs'!R110</f>
        <v>1</v>
      </c>
      <c r="S46" s="21">
        <f>'Fixed inputs'!S110</f>
        <v>1</v>
      </c>
      <c r="T46" s="21">
        <f>'Fixed inputs'!T110</f>
        <v>1</v>
      </c>
      <c r="U46" s="21">
        <f>'Fixed inputs'!U110</f>
        <v>1</v>
      </c>
      <c r="V46" s="21">
        <f>'Fixed inputs'!V110</f>
        <v>1</v>
      </c>
      <c r="W46" s="21">
        <f>'Fixed inputs'!W110</f>
        <v>1</v>
      </c>
      <c r="X46" s="21">
        <f>'Fixed inputs'!X110</f>
        <v>1</v>
      </c>
      <c r="Y46" s="21">
        <f>'Fixed inputs'!Y110</f>
        <v>1</v>
      </c>
      <c r="AQ46" s="3"/>
    </row>
    <row r="47" spans="4:43" x14ac:dyDescent="0.35">
      <c r="F47" s="23" t="s">
        <v>441</v>
      </c>
      <c r="G47" s="23" t="s">
        <v>167</v>
      </c>
      <c r="J47" s="21">
        <f>'Fixed inputs'!J114</f>
        <v>0</v>
      </c>
      <c r="K47" s="21">
        <f>'Fixed inputs'!K114</f>
        <v>0</v>
      </c>
      <c r="L47" s="21">
        <f>'Fixed inputs'!L114</f>
        <v>0</v>
      </c>
      <c r="M47" s="21">
        <f>'Fixed inputs'!M114</f>
        <v>0</v>
      </c>
      <c r="N47" s="21">
        <f>'Fixed inputs'!N114</f>
        <v>0</v>
      </c>
      <c r="O47" s="21">
        <f>'Fixed inputs'!O114</f>
        <v>0</v>
      </c>
      <c r="P47" s="21">
        <f>'Fixed inputs'!P114</f>
        <v>0</v>
      </c>
      <c r="Q47" s="21">
        <f>'Fixed inputs'!Q114</f>
        <v>0</v>
      </c>
      <c r="R47" s="21">
        <f>'Fixed inputs'!R114</f>
        <v>0</v>
      </c>
      <c r="S47" s="21">
        <f>'Fixed inputs'!S114</f>
        <v>0</v>
      </c>
      <c r="T47" s="21">
        <f>'Fixed inputs'!T114</f>
        <v>0</v>
      </c>
      <c r="U47" s="21">
        <f>'Fixed inputs'!U114</f>
        <v>0</v>
      </c>
      <c r="V47" s="21">
        <f>'Fixed inputs'!V114</f>
        <v>0</v>
      </c>
      <c r="W47" s="21">
        <f>'Fixed inputs'!W114</f>
        <v>0</v>
      </c>
      <c r="X47" s="21">
        <f>'Fixed inputs'!X114</f>
        <v>0</v>
      </c>
      <c r="Y47" s="21">
        <f>'Fixed inputs'!Y114</f>
        <v>0</v>
      </c>
      <c r="AQ47" s="3"/>
    </row>
    <row r="48" spans="4:43" x14ac:dyDescent="0.35">
      <c r="F48" s="23" t="s">
        <v>442</v>
      </c>
      <c r="G48" s="23" t="s">
        <v>167</v>
      </c>
      <c r="J48" s="21">
        <f>'Fixed inputs'!J118</f>
        <v>0</v>
      </c>
      <c r="K48" s="21">
        <f>'Fixed inputs'!K118</f>
        <v>0</v>
      </c>
      <c r="L48" s="21">
        <f>'Fixed inputs'!L118</f>
        <v>0</v>
      </c>
      <c r="M48" s="21">
        <f>'Fixed inputs'!M118</f>
        <v>0</v>
      </c>
      <c r="N48" s="21">
        <f>'Fixed inputs'!N118</f>
        <v>0</v>
      </c>
      <c r="O48" s="21">
        <f>'Fixed inputs'!O118</f>
        <v>0</v>
      </c>
      <c r="P48" s="21">
        <f>'Fixed inputs'!P118</f>
        <v>0</v>
      </c>
      <c r="Q48" s="21">
        <f>'Fixed inputs'!Q118</f>
        <v>0</v>
      </c>
      <c r="R48" s="21">
        <f>'Fixed inputs'!R118</f>
        <v>0</v>
      </c>
      <c r="S48" s="21">
        <f>'Fixed inputs'!S118</f>
        <v>0</v>
      </c>
      <c r="T48" s="21">
        <f>'Fixed inputs'!T118</f>
        <v>0</v>
      </c>
      <c r="U48" s="21">
        <f>'Fixed inputs'!U118</f>
        <v>0</v>
      </c>
      <c r="V48" s="21">
        <f>'Fixed inputs'!V118</f>
        <v>0</v>
      </c>
      <c r="W48" s="21">
        <f>'Fixed inputs'!W118</f>
        <v>0</v>
      </c>
      <c r="X48" s="21">
        <f>'Fixed inputs'!X118</f>
        <v>0</v>
      </c>
      <c r="Y48" s="21">
        <f>'Fixed inputs'!Y118</f>
        <v>0</v>
      </c>
      <c r="AQ48" s="3"/>
    </row>
    <row r="49" spans="2:43" x14ac:dyDescent="0.35">
      <c r="F49" s="23" t="s">
        <v>443</v>
      </c>
      <c r="G49" s="23" t="s">
        <v>167</v>
      </c>
      <c r="J49" s="21">
        <f>'Fixed inputs'!J122</f>
        <v>0</v>
      </c>
      <c r="K49" s="21">
        <f>'Fixed inputs'!K122</f>
        <v>0</v>
      </c>
      <c r="L49" s="21">
        <f>'Fixed inputs'!L122</f>
        <v>0</v>
      </c>
      <c r="M49" s="21">
        <f>'Fixed inputs'!M122</f>
        <v>0</v>
      </c>
      <c r="N49" s="21">
        <f>'Fixed inputs'!N122</f>
        <v>0</v>
      </c>
      <c r="O49" s="21">
        <f>'Fixed inputs'!O122</f>
        <v>0</v>
      </c>
      <c r="P49" s="21">
        <f>'Fixed inputs'!P122</f>
        <v>0</v>
      </c>
      <c r="Q49" s="21">
        <f>'Fixed inputs'!Q122</f>
        <v>0</v>
      </c>
      <c r="R49" s="21">
        <f>'Fixed inputs'!R122</f>
        <v>0</v>
      </c>
      <c r="S49" s="21">
        <f>'Fixed inputs'!S122</f>
        <v>0</v>
      </c>
      <c r="T49" s="21">
        <f>'Fixed inputs'!T122</f>
        <v>0</v>
      </c>
      <c r="U49" s="21">
        <f>'Fixed inputs'!U122</f>
        <v>0</v>
      </c>
      <c r="V49" s="21">
        <f>'Fixed inputs'!V122</f>
        <v>0</v>
      </c>
      <c r="W49" s="21">
        <f>'Fixed inputs'!W122</f>
        <v>0</v>
      </c>
      <c r="X49" s="21">
        <f>'Fixed inputs'!X122</f>
        <v>0</v>
      </c>
      <c r="Y49" s="21">
        <f>'Fixed inputs'!Y122</f>
        <v>0</v>
      </c>
      <c r="AQ49" s="3"/>
    </row>
    <row r="50" spans="2:43" x14ac:dyDescent="0.35">
      <c r="C50" s="27"/>
      <c r="AQ50" s="3"/>
    </row>
    <row r="51" spans="2:43" x14ac:dyDescent="0.35">
      <c r="B51" s="25" t="s">
        <v>444</v>
      </c>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C51" s="25"/>
      <c r="AD51" s="25"/>
      <c r="AE51" s="25"/>
      <c r="AF51" s="25"/>
      <c r="AG51" s="25"/>
      <c r="AH51" s="25"/>
      <c r="AI51" s="25"/>
      <c r="AJ51" s="25"/>
      <c r="AK51" s="25"/>
      <c r="AL51" s="25"/>
      <c r="AM51" s="25"/>
      <c r="AN51" s="25"/>
      <c r="AO51" s="25"/>
      <c r="AQ51" s="25"/>
    </row>
    <row r="52" spans="2:43" x14ac:dyDescent="0.35">
      <c r="C52" s="27"/>
      <c r="AQ52" s="3"/>
    </row>
    <row r="53" spans="2:43" x14ac:dyDescent="0.35">
      <c r="C53" s="26" t="str">
        <f ca="1">INDEX('Version control'!$H$38:$H$61,MATCH($A$1,'Version control'!$F$38:$F$61,0),1)&amp;"-B: Aggregation of volumes"</f>
        <v>Section 104-B: Aggregation of volumes</v>
      </c>
      <c r="D53" s="26"/>
      <c r="E53" s="26"/>
      <c r="F53" s="26"/>
      <c r="G53" s="26"/>
      <c r="H53" s="26"/>
      <c r="I53" s="26"/>
      <c r="J53" s="26"/>
      <c r="K53" s="26"/>
      <c r="L53" s="26"/>
      <c r="M53" s="26"/>
      <c r="N53" s="26"/>
      <c r="O53" s="26"/>
      <c r="P53" s="26"/>
      <c r="Q53" s="26"/>
      <c r="R53" s="26"/>
      <c r="S53" s="26"/>
      <c r="T53" s="26"/>
      <c r="U53" s="26"/>
      <c r="V53" s="26"/>
      <c r="W53" s="26"/>
      <c r="X53" s="26"/>
      <c r="Y53" s="26"/>
      <c r="Z53" s="26"/>
      <c r="AA53" s="26"/>
      <c r="AQ53" s="3"/>
    </row>
    <row r="54" spans="2:43" x14ac:dyDescent="0.35">
      <c r="C54" s="24"/>
      <c r="AQ54" s="3"/>
    </row>
    <row r="55" spans="2:43" x14ac:dyDescent="0.35">
      <c r="C55" s="24"/>
      <c r="D55" s="24" t="s">
        <v>959</v>
      </c>
      <c r="AQ55" s="3"/>
    </row>
    <row r="56" spans="2:43" x14ac:dyDescent="0.35">
      <c r="C56" s="24"/>
      <c r="AQ56" s="3"/>
    </row>
    <row r="57" spans="2:43" x14ac:dyDescent="0.35">
      <c r="C57" s="24"/>
      <c r="E57" s="27" t="s">
        <v>904</v>
      </c>
      <c r="G57" s="12"/>
      <c r="I57" t="s">
        <v>154</v>
      </c>
      <c r="AQ57" s="3"/>
    </row>
    <row r="58" spans="2:43" x14ac:dyDescent="0.35">
      <c r="C58" s="24"/>
      <c r="E58" s="27"/>
      <c r="F58" s="68" t="s">
        <v>247</v>
      </c>
      <c r="G58" s="68" t="s">
        <v>207</v>
      </c>
      <c r="H58" s="19"/>
      <c r="I58" s="19"/>
      <c r="J58" s="73"/>
      <c r="K58" s="114">
        <f>'Inputs by customer type'!K23</f>
        <v>327.1864201957822</v>
      </c>
      <c r="L58" s="114">
        <f>'Inputs by customer type'!L23</f>
        <v>21.322867534041706</v>
      </c>
      <c r="M58" s="114">
        <f>'Inputs by customer type'!M23</f>
        <v>600.6058735440879</v>
      </c>
      <c r="N58" s="114">
        <f>'Inputs by customer type'!N23</f>
        <v>78.59078647039631</v>
      </c>
      <c r="O58" s="114">
        <f>'Inputs by customer type'!O23</f>
        <v>0</v>
      </c>
      <c r="P58" s="114">
        <f>'Inputs by customer type'!P23</f>
        <v>376.43364027248634</v>
      </c>
      <c r="Q58" s="73"/>
      <c r="R58" s="114">
        <f>'Inputs by customer type'!R23</f>
        <v>923.34399999999982</v>
      </c>
      <c r="S58" s="114">
        <f>'Inputs by customer type'!S23</f>
        <v>19.360999999999997</v>
      </c>
      <c r="T58" s="114">
        <f>'Inputs by customer type'!T23</f>
        <v>3318.3707999999997</v>
      </c>
      <c r="U58" s="114">
        <f>'Inputs by customer type'!U23</f>
        <v>0</v>
      </c>
      <c r="V58" s="114">
        <f>'Inputs by customer type'!V23</f>
        <v>0</v>
      </c>
      <c r="W58" s="114">
        <f>'Inputs by customer type'!W23</f>
        <v>0</v>
      </c>
      <c r="X58" s="114">
        <f>'Inputs by customer type'!X23</f>
        <v>83699.301999999996</v>
      </c>
      <c r="Y58" s="114">
        <f>'Inputs by customer type'!Y23</f>
        <v>0</v>
      </c>
      <c r="AQ58" s="3"/>
    </row>
    <row r="59" spans="2:43" x14ac:dyDescent="0.35">
      <c r="E59" s="27"/>
      <c r="F59" s="62" t="s">
        <v>248</v>
      </c>
      <c r="G59" s="62" t="s">
        <v>207</v>
      </c>
      <c r="J59" s="316"/>
      <c r="K59" s="318">
        <f>'Inputs by customer type'!K24</f>
        <v>37209.495096629304</v>
      </c>
      <c r="L59" s="318">
        <f>'Inputs by customer type'!L24</f>
        <v>134.7979129795242</v>
      </c>
      <c r="M59" s="318">
        <f>'Inputs by customer type'!M24</f>
        <v>7794.8644051182664</v>
      </c>
      <c r="N59" s="318">
        <f>'Inputs by customer type'!N24</f>
        <v>452.42738864355545</v>
      </c>
      <c r="O59" s="318">
        <f>'Inputs by customer type'!O24</f>
        <v>0</v>
      </c>
      <c r="P59" s="318">
        <f>'Inputs by customer type'!P24</f>
        <v>2115.4787940551191</v>
      </c>
      <c r="Q59" s="316"/>
      <c r="R59" s="318">
        <f>'Inputs by customer type'!R24</f>
        <v>7844.6260000000002</v>
      </c>
      <c r="S59" s="318">
        <f>'Inputs by customer type'!S24</f>
        <v>169.173</v>
      </c>
      <c r="T59" s="318">
        <f>'Inputs by customer type'!T24</f>
        <v>30715.611799999999</v>
      </c>
      <c r="U59" s="318">
        <f>'Inputs by customer type'!U24</f>
        <v>0</v>
      </c>
      <c r="V59" s="318">
        <f>'Inputs by customer type'!V24</f>
        <v>0</v>
      </c>
      <c r="W59" s="318">
        <f>'Inputs by customer type'!W24</f>
        <v>0</v>
      </c>
      <c r="X59" s="318">
        <f>'Inputs by customer type'!X24</f>
        <v>531894.13069999998</v>
      </c>
      <c r="Y59" s="318">
        <f>'Inputs by customer type'!Y24</f>
        <v>0</v>
      </c>
      <c r="AQ59" s="3"/>
    </row>
    <row r="60" spans="2:43" x14ac:dyDescent="0.35">
      <c r="E60" s="27"/>
      <c r="F60" s="62" t="s">
        <v>249</v>
      </c>
      <c r="G60" s="62" t="s">
        <v>207</v>
      </c>
      <c r="J60" s="316"/>
      <c r="K60" s="318">
        <f>'Inputs by customer type'!K25</f>
        <v>91106.652298625209</v>
      </c>
      <c r="L60" s="318">
        <f>'Inputs by customer type'!L25</f>
        <v>64.19339086764441</v>
      </c>
      <c r="M60" s="318">
        <f>'Inputs by customer type'!M25</f>
        <v>25498.055666371529</v>
      </c>
      <c r="N60" s="318">
        <f>'Inputs by customer type'!N25</f>
        <v>248.8001625162569</v>
      </c>
      <c r="O60" s="318">
        <f>'Inputs by customer type'!O25</f>
        <v>0</v>
      </c>
      <c r="P60" s="318">
        <f>'Inputs by customer type'!P25</f>
        <v>1458.3912124412109</v>
      </c>
      <c r="Q60" s="316"/>
      <c r="R60" s="318">
        <f>'Inputs by customer type'!R25</f>
        <v>790.70799999999986</v>
      </c>
      <c r="S60" s="318">
        <f>'Inputs by customer type'!S25</f>
        <v>24.104999999999997</v>
      </c>
      <c r="T60" s="318">
        <f>'Inputs by customer type'!T25</f>
        <v>8447.357399999999</v>
      </c>
      <c r="U60" s="318">
        <f>'Inputs by customer type'!U25</f>
        <v>0</v>
      </c>
      <c r="V60" s="318">
        <f>'Inputs by customer type'!V25</f>
        <v>0</v>
      </c>
      <c r="W60" s="318">
        <f>'Inputs by customer type'!W25</f>
        <v>0</v>
      </c>
      <c r="X60" s="318">
        <f>'Inputs by customer type'!X25</f>
        <v>252426.65710000001</v>
      </c>
      <c r="Y60" s="318">
        <f>'Inputs by customer type'!Y25</f>
        <v>0</v>
      </c>
      <c r="AQ60" s="3"/>
    </row>
    <row r="61" spans="2:43" x14ac:dyDescent="0.35">
      <c r="E61" s="27"/>
      <c r="F61" s="62" t="s">
        <v>212</v>
      </c>
      <c r="G61" s="62" t="s">
        <v>212</v>
      </c>
      <c r="J61" s="316"/>
      <c r="K61" s="318">
        <f>'Inputs by customer type'!K26</f>
        <v>30229.440258963554</v>
      </c>
      <c r="L61" s="318">
        <f>'Inputs by customer type'!L26</f>
        <v>8.9531769600414037</v>
      </c>
      <c r="M61" s="318">
        <f>'Inputs by customer type'!M26</f>
        <v>4514.9354838709687</v>
      </c>
      <c r="N61" s="318">
        <f>'Inputs by customer type'!N26</f>
        <v>12.122280437371904</v>
      </c>
      <c r="O61" s="318">
        <f>'Inputs by customer type'!O26</f>
        <v>0</v>
      </c>
      <c r="P61" s="318">
        <f>'Inputs by customer type'!P26</f>
        <v>79.23866687372356</v>
      </c>
      <c r="Q61" s="316"/>
      <c r="R61" s="318">
        <f>'Inputs by customer type'!R26</f>
        <v>8349.9354838709678</v>
      </c>
      <c r="S61" s="318">
        <f>'Inputs by customer type'!S26</f>
        <v>39</v>
      </c>
      <c r="T61" s="318">
        <f>'Inputs by customer type'!T26</f>
        <v>838.90322580645136</v>
      </c>
      <c r="U61" s="318">
        <f>'Inputs by customer type'!U26</f>
        <v>0</v>
      </c>
      <c r="V61" s="318">
        <f>'Inputs by customer type'!V26</f>
        <v>1</v>
      </c>
      <c r="W61" s="318">
        <f>'Inputs by customer type'!W26</f>
        <v>0</v>
      </c>
      <c r="X61" s="318">
        <f>'Inputs by customer type'!X26</f>
        <v>234.29032258064521</v>
      </c>
      <c r="Y61" s="318">
        <f>'Inputs by customer type'!Y26</f>
        <v>0</v>
      </c>
      <c r="AQ61" s="3"/>
    </row>
    <row r="62" spans="2:43" x14ac:dyDescent="0.35">
      <c r="E62" s="27"/>
      <c r="F62" s="62" t="s">
        <v>250</v>
      </c>
      <c r="G62" s="62" t="s">
        <v>251</v>
      </c>
      <c r="J62" s="316"/>
      <c r="K62" s="318">
        <f>'Inputs by customer type'!K27</f>
        <v>0</v>
      </c>
      <c r="L62" s="318">
        <f>'Inputs by customer type'!L27</f>
        <v>0</v>
      </c>
      <c r="M62" s="318">
        <f>'Inputs by customer type'!M27</f>
        <v>0</v>
      </c>
      <c r="N62" s="318">
        <f>'Inputs by customer type'!N27</f>
        <v>541.06652698643586</v>
      </c>
      <c r="O62" s="318">
        <f>'Inputs by customer type'!O27</f>
        <v>0</v>
      </c>
      <c r="P62" s="318">
        <f>'Inputs by customer type'!P27</f>
        <v>1942.3147725069314</v>
      </c>
      <c r="Q62" s="316"/>
      <c r="R62" s="318">
        <f>'Inputs by customer type'!R27</f>
        <v>0</v>
      </c>
      <c r="S62" s="318">
        <f>'Inputs by customer type'!S27</f>
        <v>0</v>
      </c>
      <c r="T62" s="318">
        <f>'Inputs by customer type'!T27</f>
        <v>0</v>
      </c>
      <c r="U62" s="318">
        <f>'Inputs by customer type'!U27</f>
        <v>0</v>
      </c>
      <c r="V62" s="318">
        <f>'Inputs by customer type'!V27</f>
        <v>0</v>
      </c>
      <c r="W62" s="318">
        <f>'Inputs by customer type'!W27</f>
        <v>0</v>
      </c>
      <c r="X62" s="318">
        <f>'Inputs by customer type'!X27</f>
        <v>0</v>
      </c>
      <c r="Y62" s="318">
        <f>'Inputs by customer type'!Y27</f>
        <v>0</v>
      </c>
      <c r="AQ62" s="3"/>
    </row>
    <row r="63" spans="2:43" x14ac:dyDescent="0.35">
      <c r="E63" s="27"/>
      <c r="F63" s="62" t="s">
        <v>252</v>
      </c>
      <c r="G63" s="62" t="s">
        <v>251</v>
      </c>
      <c r="J63" s="316"/>
      <c r="K63" s="318">
        <f>'Inputs by customer type'!K28</f>
        <v>0</v>
      </c>
      <c r="L63" s="318">
        <f>'Inputs by customer type'!L28</f>
        <v>0</v>
      </c>
      <c r="M63" s="318">
        <f>'Inputs by customer type'!M28</f>
        <v>0</v>
      </c>
      <c r="N63" s="318">
        <f>'Inputs by customer type'!N28</f>
        <v>8.8396001529576367</v>
      </c>
      <c r="O63" s="318">
        <f>'Inputs by customer type'!O28</f>
        <v>0</v>
      </c>
      <c r="P63" s="318">
        <f>'Inputs by customer type'!P28</f>
        <v>40.020366637641082</v>
      </c>
      <c r="Q63" s="316"/>
      <c r="R63" s="318">
        <f>'Inputs by customer type'!R28</f>
        <v>0</v>
      </c>
      <c r="S63" s="318">
        <f>'Inputs by customer type'!S28</f>
        <v>0</v>
      </c>
      <c r="T63" s="318">
        <f>'Inputs by customer type'!T28</f>
        <v>0</v>
      </c>
      <c r="U63" s="318">
        <f>'Inputs by customer type'!U28</f>
        <v>0</v>
      </c>
      <c r="V63" s="318">
        <f>'Inputs by customer type'!V28</f>
        <v>0</v>
      </c>
      <c r="W63" s="318">
        <f>'Inputs by customer type'!W28</f>
        <v>0</v>
      </c>
      <c r="X63" s="318">
        <f>'Inputs by customer type'!X28</f>
        <v>0</v>
      </c>
      <c r="Y63" s="318">
        <f>'Inputs by customer type'!Y28</f>
        <v>0</v>
      </c>
      <c r="AQ63" s="3"/>
    </row>
    <row r="64" spans="2:43" x14ac:dyDescent="0.35">
      <c r="E64" s="27"/>
      <c r="F64" s="70" t="s">
        <v>253</v>
      </c>
      <c r="G64" s="70" t="s">
        <v>254</v>
      </c>
      <c r="H64" s="28"/>
      <c r="I64" s="28"/>
      <c r="J64" s="71"/>
      <c r="K64" s="115">
        <f>'Inputs by customer type'!K29</f>
        <v>0</v>
      </c>
      <c r="L64" s="115">
        <f>'Inputs by customer type'!L29</f>
        <v>0</v>
      </c>
      <c r="M64" s="115">
        <f>'Inputs by customer type'!M29</f>
        <v>0</v>
      </c>
      <c r="N64" s="115">
        <f>'Inputs by customer type'!N29</f>
        <v>58.995876213502676</v>
      </c>
      <c r="O64" s="115">
        <f>'Inputs by customer type'!O29</f>
        <v>0</v>
      </c>
      <c r="P64" s="115">
        <f>'Inputs by customer type'!P29</f>
        <v>274.59031949823634</v>
      </c>
      <c r="Q64" s="71"/>
      <c r="R64" s="115">
        <f>'Inputs by customer type'!R29</f>
        <v>0</v>
      </c>
      <c r="S64" s="115">
        <f>'Inputs by customer type'!S29</f>
        <v>0</v>
      </c>
      <c r="T64" s="115">
        <f>'Inputs by customer type'!T29</f>
        <v>6749.0700869110524</v>
      </c>
      <c r="U64" s="115">
        <f>'Inputs by customer type'!U29</f>
        <v>0</v>
      </c>
      <c r="V64" s="115">
        <f>'Inputs by customer type'!V29</f>
        <v>0</v>
      </c>
      <c r="W64" s="115">
        <f>'Inputs by customer type'!W29</f>
        <v>0</v>
      </c>
      <c r="X64" s="115">
        <f>'Inputs by customer type'!X29</f>
        <v>37191.039110646561</v>
      </c>
      <c r="Y64" s="115">
        <f>'Inputs by customer type'!Y29</f>
        <v>0</v>
      </c>
      <c r="AQ64" s="3"/>
    </row>
    <row r="65" spans="3:43" x14ac:dyDescent="0.35">
      <c r="C65" s="24"/>
      <c r="AQ65" s="3"/>
    </row>
    <row r="66" spans="3:43" x14ac:dyDescent="0.35">
      <c r="C66" s="24"/>
      <c r="E66" s="27" t="s">
        <v>944</v>
      </c>
      <c r="G66" s="12"/>
      <c r="I66" t="s">
        <v>154</v>
      </c>
      <c r="AQ66" s="3"/>
    </row>
    <row r="67" spans="3:43" x14ac:dyDescent="0.35">
      <c r="C67" s="24"/>
      <c r="E67" s="27"/>
      <c r="F67" s="68" t="s">
        <v>247</v>
      </c>
      <c r="G67" s="68" t="s">
        <v>207</v>
      </c>
      <c r="H67" s="19"/>
      <c r="I67" s="19"/>
      <c r="J67" s="114">
        <f>'Inputs by customer type'!J32</f>
        <v>1178510.0378350527</v>
      </c>
      <c r="K67" s="73"/>
      <c r="L67" s="114">
        <f>'Inputs by customer type'!L32</f>
        <v>25441.776643061443</v>
      </c>
      <c r="M67" s="73"/>
      <c r="N67" s="114">
        <f>'Inputs by customer type'!N32</f>
        <v>92998.855294239955</v>
      </c>
      <c r="O67" s="114">
        <f>'Inputs by customer type'!O32</f>
        <v>101.05515913034712</v>
      </c>
      <c r="P67" s="114">
        <f>'Inputs by customer type'!P32</f>
        <v>23178.770044799025</v>
      </c>
      <c r="Q67" s="114">
        <f>'Inputs by customer type'!Q32</f>
        <v>9329.8278943829773</v>
      </c>
      <c r="R67" s="73"/>
      <c r="S67" s="73"/>
      <c r="T67" s="73"/>
      <c r="U67" s="73"/>
      <c r="V67" s="73"/>
      <c r="W67" s="73"/>
      <c r="X67" s="73"/>
      <c r="Y67" s="73"/>
      <c r="AQ67" s="3"/>
    </row>
    <row r="68" spans="3:43" x14ac:dyDescent="0.35">
      <c r="E68" s="27"/>
      <c r="F68" s="62" t="s">
        <v>248</v>
      </c>
      <c r="G68" s="62" t="s">
        <v>207</v>
      </c>
      <c r="J68" s="318">
        <f>'Inputs by customer type'!J33</f>
        <v>5172352.556943397</v>
      </c>
      <c r="K68" s="316"/>
      <c r="L68" s="318">
        <f>'Inputs by customer type'!L33</f>
        <v>160836.64115535744</v>
      </c>
      <c r="M68" s="316"/>
      <c r="N68" s="318">
        <f>'Inputs by customer type'!N33</f>
        <v>535371.01659444312</v>
      </c>
      <c r="O68" s="318">
        <f>'Inputs by customer type'!O33</f>
        <v>573.15083013354376</v>
      </c>
      <c r="P68" s="318">
        <f>'Inputs by customer type'!P33</f>
        <v>130259.86855627016</v>
      </c>
      <c r="Q68" s="318">
        <f>'Inputs by customer type'!Q33</f>
        <v>68320.814254676996</v>
      </c>
      <c r="R68" s="316"/>
      <c r="S68" s="316"/>
      <c r="T68" s="316"/>
      <c r="U68" s="316"/>
      <c r="V68" s="316"/>
      <c r="W68" s="316"/>
      <c r="X68" s="316"/>
      <c r="Y68" s="316"/>
      <c r="AQ68" s="3"/>
    </row>
    <row r="69" spans="3:43" x14ac:dyDescent="0.35">
      <c r="E69" s="27"/>
      <c r="F69" s="62" t="s">
        <v>249</v>
      </c>
      <c r="G69" s="62" t="s">
        <v>207</v>
      </c>
      <c r="J69" s="318">
        <f>'Inputs by customer type'!J34</f>
        <v>2852910.2070801561</v>
      </c>
      <c r="K69" s="316"/>
      <c r="L69" s="318">
        <f>'Inputs by customer type'!L34</f>
        <v>76593.54023599191</v>
      </c>
      <c r="M69" s="316"/>
      <c r="N69" s="318">
        <f>'Inputs by customer type'!N34</f>
        <v>294412.75943648262</v>
      </c>
      <c r="O69" s="318">
        <f>'Inputs by customer type'!O34</f>
        <v>381.3072188239953</v>
      </c>
      <c r="P69" s="318">
        <f>'Inputs by customer type'!P34</f>
        <v>89799.930006418159</v>
      </c>
      <c r="Q69" s="318">
        <f>'Inputs by customer type'!Q34</f>
        <v>107181.81638894552</v>
      </c>
      <c r="R69" s="316"/>
      <c r="S69" s="316"/>
      <c r="T69" s="316"/>
      <c r="U69" s="316"/>
      <c r="V69" s="316"/>
      <c r="W69" s="316"/>
      <c r="X69" s="316"/>
      <c r="Y69" s="316"/>
      <c r="AQ69" s="3"/>
    </row>
    <row r="70" spans="3:43" x14ac:dyDescent="0.35">
      <c r="E70" s="27"/>
      <c r="F70" s="62" t="s">
        <v>212</v>
      </c>
      <c r="G70" s="62" t="s">
        <v>212</v>
      </c>
      <c r="J70" s="318">
        <f>'Inputs by customer type'!J35</f>
        <v>2883067.3258877532</v>
      </c>
      <c r="K70" s="316"/>
      <c r="L70" s="318">
        <f>'Inputs by customer type'!L35</f>
        <v>89867.465601055635</v>
      </c>
      <c r="M70" s="316"/>
      <c r="N70" s="318">
        <f>'Inputs by customer type'!N35</f>
        <v>10302.456027690891</v>
      </c>
      <c r="O70" s="318">
        <f>'Inputs by customer type'!O35</f>
        <v>5</v>
      </c>
      <c r="P70" s="318">
        <f>'Inputs by customer type'!P35</f>
        <v>478.83071857148411</v>
      </c>
      <c r="Q70" s="318">
        <f>'Inputs by customer type'!Q35</f>
        <v>3978.3387096774172</v>
      </c>
      <c r="R70" s="316"/>
      <c r="S70" s="316"/>
      <c r="T70" s="316"/>
      <c r="U70" s="316"/>
      <c r="V70" s="316"/>
      <c r="W70" s="316"/>
      <c r="X70" s="316"/>
      <c r="Y70" s="316"/>
      <c r="AQ70" s="3"/>
    </row>
    <row r="71" spans="3:43" x14ac:dyDescent="0.35">
      <c r="E71" s="27"/>
      <c r="F71" s="62" t="s">
        <v>250</v>
      </c>
      <c r="G71" s="62" t="s">
        <v>251</v>
      </c>
      <c r="J71" s="318">
        <f>'Inputs by customer type'!J36</f>
        <v>0</v>
      </c>
      <c r="K71" s="316"/>
      <c r="L71" s="318">
        <f>'Inputs by customer type'!L36</f>
        <v>0</v>
      </c>
      <c r="M71" s="316"/>
      <c r="N71" s="318">
        <f>'Inputs by customer type'!N36</f>
        <v>640260.39065943938</v>
      </c>
      <c r="O71" s="318">
        <f>'Inputs by customer type'!O36</f>
        <v>457.61497359160671</v>
      </c>
      <c r="P71" s="318">
        <f>'Inputs by customer type'!P36</f>
        <v>119597.35435431766</v>
      </c>
      <c r="Q71" s="318">
        <f>'Inputs by customer type'!Q36</f>
        <v>0</v>
      </c>
      <c r="R71" s="316"/>
      <c r="S71" s="316"/>
      <c r="T71" s="316"/>
      <c r="U71" s="316"/>
      <c r="V71" s="316"/>
      <c r="W71" s="316"/>
      <c r="X71" s="316"/>
      <c r="Y71" s="316"/>
      <c r="AQ71" s="3"/>
    </row>
    <row r="72" spans="3:43" x14ac:dyDescent="0.35">
      <c r="E72" s="27"/>
      <c r="F72" s="62" t="s">
        <v>252</v>
      </c>
      <c r="G72" s="62" t="s">
        <v>251</v>
      </c>
      <c r="J72" s="318">
        <f>'Inputs by customer type'!J37</f>
        <v>0</v>
      </c>
      <c r="K72" s="316"/>
      <c r="L72" s="318">
        <f>'Inputs by customer type'!L37</f>
        <v>0</v>
      </c>
      <c r="M72" s="316"/>
      <c r="N72" s="318">
        <f>'Inputs by customer type'!N37</f>
        <v>10460.166291802007</v>
      </c>
      <c r="O72" s="318">
        <f>'Inputs by customer type'!O37</f>
        <v>2.4188773321338299</v>
      </c>
      <c r="P72" s="318">
        <f>'Inputs by customer type'!P37</f>
        <v>2464.2401107694777</v>
      </c>
      <c r="Q72" s="318">
        <f>'Inputs by customer type'!Q37</f>
        <v>0</v>
      </c>
      <c r="R72" s="316"/>
      <c r="S72" s="316"/>
      <c r="T72" s="316"/>
      <c r="U72" s="316"/>
      <c r="V72" s="316"/>
      <c r="W72" s="316"/>
      <c r="X72" s="316"/>
      <c r="Y72" s="316"/>
      <c r="AQ72" s="3"/>
    </row>
    <row r="73" spans="3:43" x14ac:dyDescent="0.35">
      <c r="E73" s="27"/>
      <c r="F73" s="70" t="s">
        <v>253</v>
      </c>
      <c r="G73" s="70" t="s">
        <v>254</v>
      </c>
      <c r="H73" s="28"/>
      <c r="I73" s="28"/>
      <c r="J73" s="115">
        <f>'Inputs by customer type'!J38</f>
        <v>0</v>
      </c>
      <c r="K73" s="71"/>
      <c r="L73" s="115">
        <f>'Inputs by customer type'!L38</f>
        <v>0</v>
      </c>
      <c r="M73" s="71"/>
      <c r="N73" s="115">
        <f>'Inputs by customer type'!N38</f>
        <v>69811.605168286609</v>
      </c>
      <c r="O73" s="115">
        <f>'Inputs by customer type'!O38</f>
        <v>80.334257737303417</v>
      </c>
      <c r="P73" s="115">
        <f>'Inputs by customer type'!P38</f>
        <v>16907.803105934869</v>
      </c>
      <c r="Q73" s="115">
        <f>'Inputs by customer type'!Q38</f>
        <v>0</v>
      </c>
      <c r="R73" s="71"/>
      <c r="S73" s="71"/>
      <c r="T73" s="71"/>
      <c r="U73" s="71"/>
      <c r="V73" s="71"/>
      <c r="W73" s="71"/>
      <c r="X73" s="71"/>
      <c r="Y73" s="71"/>
      <c r="AQ73" s="3"/>
    </row>
    <row r="74" spans="3:43" x14ac:dyDescent="0.35">
      <c r="AQ74" s="3"/>
    </row>
    <row r="75" spans="3:43" x14ac:dyDescent="0.35">
      <c r="C75" s="24"/>
      <c r="E75" s="27" t="s">
        <v>945</v>
      </c>
      <c r="G75" s="12"/>
      <c r="I75" t="s">
        <v>154</v>
      </c>
      <c r="AQ75" s="3"/>
    </row>
    <row r="76" spans="3:43" x14ac:dyDescent="0.35">
      <c r="C76" s="24"/>
      <c r="E76" s="27"/>
      <c r="F76" s="68" t="s">
        <v>247</v>
      </c>
      <c r="G76" s="68" t="s">
        <v>207</v>
      </c>
      <c r="H76" s="19"/>
      <c r="I76" s="19"/>
      <c r="J76" s="73"/>
      <c r="K76" s="73"/>
      <c r="L76" s="114">
        <f>'Inputs by customer type'!L41</f>
        <v>52914.692479531048</v>
      </c>
      <c r="M76" s="73"/>
      <c r="N76" s="114">
        <f>'Inputs by customer type'!N41</f>
        <v>91368.864784198726</v>
      </c>
      <c r="O76" s="114">
        <f>'Inputs by customer type'!O41</f>
        <v>1318.0565416784348</v>
      </c>
      <c r="P76" s="114">
        <f>'Inputs by customer type'!P41</f>
        <v>87260.01683194864</v>
      </c>
      <c r="Q76" s="73"/>
      <c r="R76" s="73"/>
      <c r="S76" s="73"/>
      <c r="T76" s="73"/>
      <c r="U76" s="73"/>
      <c r="V76" s="73"/>
      <c r="W76" s="73"/>
      <c r="X76" s="73"/>
      <c r="Y76" s="73"/>
      <c r="AQ76" s="3"/>
    </row>
    <row r="77" spans="3:43" x14ac:dyDescent="0.35">
      <c r="E77" s="27"/>
      <c r="F77" s="62" t="s">
        <v>248</v>
      </c>
      <c r="G77" s="62" t="s">
        <v>207</v>
      </c>
      <c r="J77" s="316"/>
      <c r="K77" s="316"/>
      <c r="L77" s="318">
        <f>'Inputs by customer type'!L42</f>
        <v>334513.64366479765</v>
      </c>
      <c r="M77" s="316"/>
      <c r="N77" s="318">
        <f>'Inputs by customer type'!N42</f>
        <v>525987.57124300208</v>
      </c>
      <c r="O77" s="318">
        <f>'Inputs by customer type'!O42</f>
        <v>7475.5728210919278</v>
      </c>
      <c r="P77" s="318">
        <f>'Inputs by customer type'!P42</f>
        <v>490383.15237516334</v>
      </c>
      <c r="Q77" s="316"/>
      <c r="R77" s="316"/>
      <c r="S77" s="316"/>
      <c r="T77" s="316"/>
      <c r="U77" s="316"/>
      <c r="V77" s="316"/>
      <c r="W77" s="316"/>
      <c r="X77" s="316"/>
      <c r="Y77" s="316"/>
      <c r="AQ77" s="3"/>
    </row>
    <row r="78" spans="3:43" x14ac:dyDescent="0.35">
      <c r="E78" s="27"/>
      <c r="F78" s="62" t="s">
        <v>249</v>
      </c>
      <c r="G78" s="62" t="s">
        <v>207</v>
      </c>
      <c r="J78" s="316"/>
      <c r="K78" s="316"/>
      <c r="L78" s="318">
        <f>'Inputs by customer type'!L43</f>
        <v>159301.91056886845</v>
      </c>
      <c r="M78" s="316"/>
      <c r="N78" s="318">
        <f>'Inputs by customer type'!N43</f>
        <v>289252.58835267532</v>
      </c>
      <c r="O78" s="318">
        <f>'Inputs by customer type'!O43</f>
        <v>4973.367797203834</v>
      </c>
      <c r="P78" s="318">
        <f>'Inputs by customer type'!P43</f>
        <v>338065.5396607694</v>
      </c>
      <c r="Q78" s="316"/>
      <c r="R78" s="316"/>
      <c r="S78" s="316"/>
      <c r="T78" s="316"/>
      <c r="U78" s="316"/>
      <c r="V78" s="316"/>
      <c r="W78" s="316"/>
      <c r="X78" s="316"/>
      <c r="Y78" s="316"/>
      <c r="AQ78" s="3"/>
    </row>
    <row r="79" spans="3:43" x14ac:dyDescent="0.35">
      <c r="E79" s="27"/>
      <c r="F79" s="62" t="s">
        <v>212</v>
      </c>
      <c r="G79" s="62" t="s">
        <v>212</v>
      </c>
      <c r="J79" s="316"/>
      <c r="K79" s="316"/>
      <c r="L79" s="318">
        <f>'Inputs by customer type'!L44</f>
        <v>68282.350747835793</v>
      </c>
      <c r="M79" s="316"/>
      <c r="N79" s="318">
        <f>'Inputs by customer type'!N44</f>
        <v>5922.1292854095691</v>
      </c>
      <c r="O79" s="318">
        <f>'Inputs by customer type'!O44</f>
        <v>43.935483870967744</v>
      </c>
      <c r="P79" s="318">
        <f>'Inputs by customer type'!P44</f>
        <v>692.49674799691286</v>
      </c>
      <c r="Q79" s="316"/>
      <c r="R79" s="316"/>
      <c r="S79" s="316"/>
      <c r="T79" s="316"/>
      <c r="U79" s="316"/>
      <c r="V79" s="316"/>
      <c r="W79" s="316"/>
      <c r="X79" s="316"/>
      <c r="Y79" s="316"/>
      <c r="AQ79" s="3"/>
    </row>
    <row r="80" spans="3:43" x14ac:dyDescent="0.35">
      <c r="E80" s="27"/>
      <c r="F80" s="62" t="s">
        <v>250</v>
      </c>
      <c r="G80" s="62" t="s">
        <v>251</v>
      </c>
      <c r="J80" s="316"/>
      <c r="K80" s="316"/>
      <c r="L80" s="318">
        <f>'Inputs by customer type'!L45</f>
        <v>0</v>
      </c>
      <c r="M80" s="316"/>
      <c r="N80" s="318">
        <f>'Inputs by customer type'!N45</f>
        <v>629038.54973001871</v>
      </c>
      <c r="O80" s="318">
        <f>'Inputs by customer type'!O45</f>
        <v>5968.6453883509857</v>
      </c>
      <c r="P80" s="318">
        <f>'Inputs by customer type'!P45</f>
        <v>450242.49059996969</v>
      </c>
      <c r="Q80" s="316"/>
      <c r="R80" s="316"/>
      <c r="S80" s="316"/>
      <c r="T80" s="316"/>
      <c r="U80" s="316"/>
      <c r="V80" s="316"/>
      <c r="W80" s="316"/>
      <c r="X80" s="316"/>
      <c r="Y80" s="316"/>
      <c r="AQ80" s="3"/>
    </row>
    <row r="81" spans="3:43" x14ac:dyDescent="0.35">
      <c r="E81" s="27"/>
      <c r="F81" s="62" t="s">
        <v>252</v>
      </c>
      <c r="G81" s="62" t="s">
        <v>251</v>
      </c>
      <c r="J81" s="316"/>
      <c r="K81" s="316"/>
      <c r="L81" s="318">
        <f>'Inputs by customer type'!L46</f>
        <v>0</v>
      </c>
      <c r="M81" s="316"/>
      <c r="N81" s="318">
        <f>'Inputs by customer type'!N46</f>
        <v>10276.83100519933</v>
      </c>
      <c r="O81" s="318">
        <f>'Inputs by customer type'!O46</f>
        <v>31.549275846711769</v>
      </c>
      <c r="P81" s="318">
        <f>'Inputs by customer type'!P46</f>
        <v>9277.0079313141578</v>
      </c>
      <c r="Q81" s="316"/>
      <c r="R81" s="316"/>
      <c r="S81" s="316"/>
      <c r="T81" s="316"/>
      <c r="U81" s="316"/>
      <c r="V81" s="316"/>
      <c r="W81" s="316"/>
      <c r="X81" s="316"/>
      <c r="Y81" s="316"/>
      <c r="AQ81" s="3"/>
    </row>
    <row r="82" spans="3:43" x14ac:dyDescent="0.35">
      <c r="E82" s="27"/>
      <c r="F82" s="70" t="s">
        <v>253</v>
      </c>
      <c r="G82" s="70" t="s">
        <v>254</v>
      </c>
      <c r="H82" s="28"/>
      <c r="I82" s="28"/>
      <c r="J82" s="71"/>
      <c r="K82" s="71"/>
      <c r="L82" s="115">
        <f>'Inputs by customer type'!L47</f>
        <v>0</v>
      </c>
      <c r="M82" s="71"/>
      <c r="N82" s="115">
        <f>'Inputs by customer type'!N47</f>
        <v>68588.017484814336</v>
      </c>
      <c r="O82" s="115">
        <f>'Inputs by customer type'!O47</f>
        <v>1047.7950343431464</v>
      </c>
      <c r="P82" s="115">
        <f>'Inputs by customer type'!P47</f>
        <v>63652.004863226233</v>
      </c>
      <c r="Q82" s="71"/>
      <c r="R82" s="71"/>
      <c r="S82" s="71"/>
      <c r="T82" s="71"/>
      <c r="U82" s="71"/>
      <c r="V82" s="71"/>
      <c r="W82" s="71"/>
      <c r="X82" s="71"/>
      <c r="Y82" s="71"/>
      <c r="AQ82" s="3"/>
    </row>
    <row r="83" spans="3:43" x14ac:dyDescent="0.35">
      <c r="AQ83" s="3"/>
    </row>
    <row r="84" spans="3:43" x14ac:dyDescent="0.35">
      <c r="C84" s="24"/>
      <c r="E84" s="27" t="s">
        <v>946</v>
      </c>
      <c r="G84" s="12"/>
      <c r="I84" t="s">
        <v>154</v>
      </c>
      <c r="AQ84" s="3"/>
    </row>
    <row r="85" spans="3:43" x14ac:dyDescent="0.35">
      <c r="C85" s="24"/>
      <c r="E85" s="27"/>
      <c r="F85" s="68" t="s">
        <v>247</v>
      </c>
      <c r="G85" s="68" t="s">
        <v>207</v>
      </c>
      <c r="H85" s="19"/>
      <c r="I85" s="19"/>
      <c r="J85" s="73"/>
      <c r="K85" s="73"/>
      <c r="L85" s="114">
        <f>'Inputs by customer type'!L50</f>
        <v>61009.229305397719</v>
      </c>
      <c r="M85" s="73"/>
      <c r="N85" s="114">
        <f>'Inputs by customer type'!N50</f>
        <v>73655.233429662068</v>
      </c>
      <c r="O85" s="114">
        <f>'Inputs by customer type'!O50</f>
        <v>2018.331463068005</v>
      </c>
      <c r="P85" s="114">
        <f>'Inputs by customer type'!P50</f>
        <v>68994.102802540176</v>
      </c>
      <c r="Q85" s="73"/>
      <c r="R85" s="73"/>
      <c r="S85" s="73"/>
      <c r="T85" s="73"/>
      <c r="U85" s="73"/>
      <c r="V85" s="73"/>
      <c r="W85" s="73"/>
      <c r="X85" s="73"/>
      <c r="Y85" s="73"/>
      <c r="AQ85" s="3"/>
    </row>
    <row r="86" spans="3:43" x14ac:dyDescent="0.35">
      <c r="E86" s="27"/>
      <c r="F86" s="62" t="s">
        <v>248</v>
      </c>
      <c r="G86" s="62" t="s">
        <v>207</v>
      </c>
      <c r="J86" s="316"/>
      <c r="K86" s="316"/>
      <c r="L86" s="318">
        <f>'Inputs by customer type'!L51</f>
        <v>385685.31037054252</v>
      </c>
      <c r="M86" s="316"/>
      <c r="N86" s="318">
        <f>'Inputs by customer type'!N51</f>
        <v>424014.651298418</v>
      </c>
      <c r="O86" s="318">
        <f>'Inputs by customer type'!O51</f>
        <v>11447.296342880969</v>
      </c>
      <c r="P86" s="318">
        <f>'Inputs by customer type'!P51</f>
        <v>387732.51319404069</v>
      </c>
      <c r="Q86" s="316"/>
      <c r="R86" s="316"/>
      <c r="S86" s="316"/>
      <c r="T86" s="316"/>
      <c r="U86" s="316"/>
      <c r="V86" s="316"/>
      <c r="W86" s="316"/>
      <c r="X86" s="316"/>
      <c r="Y86" s="316"/>
      <c r="AQ86" s="3"/>
    </row>
    <row r="87" spans="3:43" x14ac:dyDescent="0.35">
      <c r="E87" s="27"/>
      <c r="F87" s="62" t="s">
        <v>249</v>
      </c>
      <c r="G87" s="62" t="s">
        <v>207</v>
      </c>
      <c r="J87" s="316"/>
      <c r="K87" s="316"/>
      <c r="L87" s="318">
        <f>'Inputs by customer type'!L52</f>
        <v>183670.85463916484</v>
      </c>
      <c r="M87" s="316"/>
      <c r="N87" s="318">
        <f>'Inputs by customer type'!N52</f>
        <v>233175.34879709611</v>
      </c>
      <c r="O87" s="318">
        <f>'Inputs by customer type'!O52</f>
        <v>7615.6859627002677</v>
      </c>
      <c r="P87" s="318">
        <f>'Inputs by customer type'!P52</f>
        <v>267299.15308486967</v>
      </c>
      <c r="Q87" s="316"/>
      <c r="R87" s="316"/>
      <c r="S87" s="316"/>
      <c r="T87" s="316"/>
      <c r="U87" s="316"/>
      <c r="V87" s="316"/>
      <c r="W87" s="316"/>
      <c r="X87" s="316"/>
      <c r="Y87" s="316"/>
      <c r="AQ87" s="3"/>
    </row>
    <row r="88" spans="3:43" x14ac:dyDescent="0.35">
      <c r="E88" s="27"/>
      <c r="F88" s="62" t="s">
        <v>212</v>
      </c>
      <c r="G88" s="62" t="s">
        <v>212</v>
      </c>
      <c r="J88" s="316"/>
      <c r="K88" s="316"/>
      <c r="L88" s="318">
        <f>'Inputs by customer type'!L53</f>
        <v>35175.556124962684</v>
      </c>
      <c r="M88" s="316"/>
      <c r="N88" s="318">
        <f>'Inputs by customer type'!N53</f>
        <v>2820.8678341682225</v>
      </c>
      <c r="O88" s="318">
        <f>'Inputs by customer type'!O53</f>
        <v>51.967741935483893</v>
      </c>
      <c r="P88" s="318">
        <f>'Inputs by customer type'!P53</f>
        <v>278.04744626032908</v>
      </c>
      <c r="Q88" s="316"/>
      <c r="R88" s="316"/>
      <c r="S88" s="316"/>
      <c r="T88" s="316"/>
      <c r="U88" s="316"/>
      <c r="V88" s="316"/>
      <c r="W88" s="316"/>
      <c r="X88" s="316"/>
      <c r="Y88" s="316"/>
      <c r="AQ88" s="3"/>
    </row>
    <row r="89" spans="3:43" x14ac:dyDescent="0.35">
      <c r="E89" s="27"/>
      <c r="F89" s="62" t="s">
        <v>250</v>
      </c>
      <c r="G89" s="62" t="s">
        <v>251</v>
      </c>
      <c r="J89" s="316"/>
      <c r="K89" s="316"/>
      <c r="L89" s="318">
        <f>'Inputs by customer type'!L54</f>
        <v>0</v>
      </c>
      <c r="M89" s="316"/>
      <c r="N89" s="318">
        <f>'Inputs by customer type'!N54</f>
        <v>507087.19349912775</v>
      </c>
      <c r="O89" s="318">
        <f>'Inputs by customer type'!O54</f>
        <v>9139.7481050881743</v>
      </c>
      <c r="P89" s="318">
        <f>'Inputs by customer type'!P54</f>
        <v>355994.39251027623</v>
      </c>
      <c r="Q89" s="316"/>
      <c r="R89" s="316"/>
      <c r="S89" s="316"/>
      <c r="T89" s="316"/>
      <c r="U89" s="316"/>
      <c r="V89" s="316"/>
      <c r="W89" s="316"/>
      <c r="X89" s="316"/>
      <c r="Y89" s="316"/>
      <c r="AQ89" s="3"/>
    </row>
    <row r="90" spans="3:43" x14ac:dyDescent="0.35">
      <c r="E90" s="27"/>
      <c r="F90" s="62" t="s">
        <v>252</v>
      </c>
      <c r="G90" s="62" t="s">
        <v>251</v>
      </c>
      <c r="J90" s="316"/>
      <c r="K90" s="316"/>
      <c r="L90" s="318">
        <f>'Inputs by customer type'!L55</f>
        <v>0</v>
      </c>
      <c r="M90" s="316"/>
      <c r="N90" s="318">
        <f>'Inputs by customer type'!N55</f>
        <v>8284.4674539072348</v>
      </c>
      <c r="O90" s="318">
        <f>'Inputs by customer type'!O55</f>
        <v>48.311202186624435</v>
      </c>
      <c r="P90" s="318">
        <f>'Inputs by customer type'!P55</f>
        <v>7335.0758130810245</v>
      </c>
      <c r="Q90" s="316"/>
      <c r="R90" s="316"/>
      <c r="S90" s="316"/>
      <c r="T90" s="316"/>
      <c r="U90" s="316"/>
      <c r="V90" s="316"/>
      <c r="W90" s="316"/>
      <c r="X90" s="316"/>
      <c r="Y90" s="316"/>
      <c r="AQ90" s="3"/>
    </row>
    <row r="91" spans="3:43" x14ac:dyDescent="0.35">
      <c r="E91" s="27"/>
      <c r="F91" s="70" t="s">
        <v>253</v>
      </c>
      <c r="G91" s="70" t="s">
        <v>254</v>
      </c>
      <c r="H91" s="28"/>
      <c r="I91" s="28"/>
      <c r="J91" s="71"/>
      <c r="K91" s="71"/>
      <c r="L91" s="115">
        <f>'Inputs by customer type'!L56</f>
        <v>0</v>
      </c>
      <c r="M91" s="71"/>
      <c r="N91" s="115">
        <f>'Inputs by customer type'!N56</f>
        <v>55290.896414808143</v>
      </c>
      <c r="O91" s="115">
        <f>'Inputs by customer type'!O56</f>
        <v>1604.4817637096016</v>
      </c>
      <c r="P91" s="115">
        <f>'Inputs by customer type'!P56</f>
        <v>50327.89502641157</v>
      </c>
      <c r="Q91" s="71"/>
      <c r="R91" s="71"/>
      <c r="S91" s="71"/>
      <c r="T91" s="71"/>
      <c r="U91" s="71"/>
      <c r="V91" s="71"/>
      <c r="W91" s="71"/>
      <c r="X91" s="71"/>
      <c r="Y91" s="71"/>
      <c r="AQ91" s="3"/>
    </row>
    <row r="92" spans="3:43" x14ac:dyDescent="0.35">
      <c r="AQ92" s="3"/>
    </row>
    <row r="93" spans="3:43" x14ac:dyDescent="0.35">
      <c r="C93" s="24"/>
      <c r="E93" s="27" t="s">
        <v>947</v>
      </c>
      <c r="G93" s="12"/>
      <c r="I93" t="s">
        <v>154</v>
      </c>
      <c r="AQ93" s="3"/>
    </row>
    <row r="94" spans="3:43" x14ac:dyDescent="0.35">
      <c r="C94" s="24"/>
      <c r="E94" s="27"/>
      <c r="F94" s="68" t="s">
        <v>247</v>
      </c>
      <c r="G94" s="68" t="s">
        <v>207</v>
      </c>
      <c r="H94" s="19"/>
      <c r="I94" s="19"/>
      <c r="J94" s="73"/>
      <c r="K94" s="73"/>
      <c r="L94" s="114">
        <f>'Inputs by customer type'!L59</f>
        <v>165742.8558292884</v>
      </c>
      <c r="M94" s="73"/>
      <c r="N94" s="114">
        <f>'Inputs by customer type'!N59</f>
        <v>241925.66911120774</v>
      </c>
      <c r="O94" s="114">
        <f>'Inputs by customer type'!O59</f>
        <v>25164.837795281204</v>
      </c>
      <c r="P94" s="114">
        <f>'Inputs by customer type'!P59</f>
        <v>199820.35159933308</v>
      </c>
      <c r="Q94" s="73"/>
      <c r="R94" s="73"/>
      <c r="S94" s="73"/>
      <c r="T94" s="73"/>
      <c r="U94" s="73"/>
      <c r="V94" s="73"/>
      <c r="W94" s="73"/>
      <c r="X94" s="73"/>
      <c r="Y94" s="73"/>
      <c r="AQ94" s="3"/>
    </row>
    <row r="95" spans="3:43" x14ac:dyDescent="0.35">
      <c r="E95" s="27"/>
      <c r="F95" s="62" t="s">
        <v>248</v>
      </c>
      <c r="G95" s="62" t="s">
        <v>207</v>
      </c>
      <c r="J95" s="316"/>
      <c r="K95" s="316"/>
      <c r="L95" s="318">
        <f>'Inputs by customer type'!L60</f>
        <v>1047785.4829509136</v>
      </c>
      <c r="M95" s="316"/>
      <c r="N95" s="318">
        <f>'Inputs by customer type'!N60</f>
        <v>1392705.2220435254</v>
      </c>
      <c r="O95" s="318">
        <f>'Inputs by customer type'!O60</f>
        <v>142726.48518555507</v>
      </c>
      <c r="P95" s="318">
        <f>'Inputs by customer type'!P60</f>
        <v>1122948.8313611895</v>
      </c>
      <c r="Q95" s="316"/>
      <c r="R95" s="316"/>
      <c r="S95" s="316"/>
      <c r="T95" s="316"/>
      <c r="U95" s="316"/>
      <c r="V95" s="316"/>
      <c r="W95" s="316"/>
      <c r="X95" s="316"/>
      <c r="Y95" s="316"/>
      <c r="AQ95" s="3"/>
    </row>
    <row r="96" spans="3:43" x14ac:dyDescent="0.35">
      <c r="E96" s="27"/>
      <c r="F96" s="62" t="s">
        <v>249</v>
      </c>
      <c r="G96" s="62" t="s">
        <v>207</v>
      </c>
      <c r="J96" s="316"/>
      <c r="K96" s="316"/>
      <c r="L96" s="318">
        <f>'Inputs by customer type'!L61</f>
        <v>498975.84885255969</v>
      </c>
      <c r="M96" s="316"/>
      <c r="N96" s="318">
        <f>'Inputs by customer type'!N61</f>
        <v>765880.43579886516</v>
      </c>
      <c r="O96" s="318">
        <f>'Inputs by customer type'!O61</f>
        <v>94953.43329773724</v>
      </c>
      <c r="P96" s="318">
        <f>'Inputs by customer type'!P61</f>
        <v>774150.37781542307</v>
      </c>
      <c r="Q96" s="316"/>
      <c r="R96" s="316"/>
      <c r="S96" s="316"/>
      <c r="T96" s="316"/>
      <c r="U96" s="316"/>
      <c r="V96" s="316"/>
      <c r="W96" s="316"/>
      <c r="X96" s="316"/>
      <c r="Y96" s="316"/>
      <c r="AQ96" s="3"/>
    </row>
    <row r="97" spans="3:43" x14ac:dyDescent="0.35">
      <c r="E97" s="27"/>
      <c r="F97" s="62" t="s">
        <v>212</v>
      </c>
      <c r="G97" s="62" t="s">
        <v>212</v>
      </c>
      <c r="J97" s="316"/>
      <c r="K97" s="316"/>
      <c r="L97" s="318">
        <f>'Inputs by customer type'!L62</f>
        <v>34146.197496477944</v>
      </c>
      <c r="M97" s="316"/>
      <c r="N97" s="318">
        <f>'Inputs by customer type'!N62</f>
        <v>3835.779411003623</v>
      </c>
      <c r="O97" s="318">
        <f>'Inputs by customer type'!O62</f>
        <v>198.54838709677418</v>
      </c>
      <c r="P97" s="318">
        <f>'Inputs by customer type'!P62</f>
        <v>313.32936901047566</v>
      </c>
      <c r="Q97" s="316"/>
      <c r="R97" s="316"/>
      <c r="S97" s="316"/>
      <c r="T97" s="316"/>
      <c r="U97" s="316"/>
      <c r="V97" s="316"/>
      <c r="W97" s="316"/>
      <c r="X97" s="316"/>
      <c r="Y97" s="316"/>
      <c r="AQ97" s="3"/>
    </row>
    <row r="98" spans="3:43" x14ac:dyDescent="0.35">
      <c r="E98" s="27"/>
      <c r="F98" s="62" t="s">
        <v>250</v>
      </c>
      <c r="G98" s="62" t="s">
        <v>251</v>
      </c>
      <c r="J98" s="316"/>
      <c r="K98" s="316"/>
      <c r="L98" s="318">
        <f>'Inputs by customer type'!L63</f>
        <v>0</v>
      </c>
      <c r="M98" s="316"/>
      <c r="N98" s="318">
        <f>'Inputs by customer type'!N63</f>
        <v>1665562.6881171069</v>
      </c>
      <c r="O98" s="318">
        <f>'Inputs by customer type'!O63</f>
        <v>113955.65236081497</v>
      </c>
      <c r="P98" s="318">
        <f>'Inputs by customer type'!P63</f>
        <v>1031029.055952524</v>
      </c>
      <c r="Q98" s="316"/>
      <c r="R98" s="316"/>
      <c r="S98" s="316"/>
      <c r="T98" s="316"/>
      <c r="U98" s="316"/>
      <c r="V98" s="316"/>
      <c r="W98" s="316"/>
      <c r="X98" s="316"/>
      <c r="Y98" s="316"/>
      <c r="AQ98" s="3"/>
    </row>
    <row r="99" spans="3:43" x14ac:dyDescent="0.35">
      <c r="E99" s="27"/>
      <c r="F99" s="62" t="s">
        <v>252</v>
      </c>
      <c r="G99" s="62" t="s">
        <v>251</v>
      </c>
      <c r="J99" s="316"/>
      <c r="K99" s="316"/>
      <c r="L99" s="318">
        <f>'Inputs by customer type'!L64</f>
        <v>0</v>
      </c>
      <c r="M99" s="316"/>
      <c r="N99" s="318">
        <f>'Inputs by customer type'!N64</f>
        <v>27210.901910052191</v>
      </c>
      <c r="O99" s="318">
        <f>'Inputs by customer type'!O64</f>
        <v>602.3507976600747</v>
      </c>
      <c r="P99" s="318">
        <f>'Inputs by customer type'!P64</f>
        <v>21243.807346439633</v>
      </c>
      <c r="Q99" s="316"/>
      <c r="R99" s="316"/>
      <c r="S99" s="316"/>
      <c r="T99" s="316"/>
      <c r="U99" s="316"/>
      <c r="V99" s="316"/>
      <c r="W99" s="316"/>
      <c r="X99" s="316"/>
      <c r="Y99" s="316"/>
      <c r="AQ99" s="3"/>
    </row>
    <row r="100" spans="3:43" x14ac:dyDescent="0.35">
      <c r="E100" s="27"/>
      <c r="F100" s="70" t="s">
        <v>253</v>
      </c>
      <c r="G100" s="70" t="s">
        <v>254</v>
      </c>
      <c r="H100" s="28"/>
      <c r="I100" s="28"/>
      <c r="J100" s="71"/>
      <c r="K100" s="71"/>
      <c r="L100" s="115">
        <f>'Inputs by customer type'!L65</f>
        <v>0</v>
      </c>
      <c r="M100" s="71"/>
      <c r="N100" s="115">
        <f>'Inputs by customer type'!N65</f>
        <v>181606.74385323591</v>
      </c>
      <c r="O100" s="115">
        <f>'Inputs by customer type'!O65</f>
        <v>20004.902102583135</v>
      </c>
      <c r="P100" s="115">
        <f>'Inputs by customer type'!P65</f>
        <v>145759.38045333393</v>
      </c>
      <c r="Q100" s="71"/>
      <c r="R100" s="71"/>
      <c r="S100" s="71"/>
      <c r="T100" s="71"/>
      <c r="U100" s="71"/>
      <c r="V100" s="71"/>
      <c r="W100" s="71"/>
      <c r="X100" s="71"/>
      <c r="Y100" s="71"/>
      <c r="AQ100" s="3"/>
    </row>
    <row r="101" spans="3:43" x14ac:dyDescent="0.35">
      <c r="AQ101" s="3"/>
    </row>
    <row r="102" spans="3:43" x14ac:dyDescent="0.35">
      <c r="C102" s="24"/>
      <c r="D102" s="24" t="s">
        <v>960</v>
      </c>
      <c r="AQ102" s="3"/>
    </row>
    <row r="103" spans="3:43" x14ac:dyDescent="0.35">
      <c r="AQ103" s="3"/>
    </row>
    <row r="104" spans="3:43" x14ac:dyDescent="0.35">
      <c r="E104" s="27" t="s">
        <v>905</v>
      </c>
      <c r="G104" s="12"/>
      <c r="I104" t="s">
        <v>154</v>
      </c>
      <c r="AQ104" s="3"/>
    </row>
    <row r="105" spans="3:43" x14ac:dyDescent="0.35">
      <c r="E105" s="27"/>
      <c r="F105" s="68" t="s">
        <v>247</v>
      </c>
      <c r="G105" s="68" t="s">
        <v>207</v>
      </c>
      <c r="H105" s="19"/>
      <c r="I105" s="19"/>
      <c r="J105" s="73"/>
      <c r="K105" s="114">
        <f>'Inputs by customer type'!K70</f>
        <v>0</v>
      </c>
      <c r="L105" s="114">
        <f>'Inputs by customer type'!L70</f>
        <v>0.445960085393863</v>
      </c>
      <c r="M105" s="114">
        <f>'Inputs by customer type'!M70</f>
        <v>13.991341247966051</v>
      </c>
      <c r="N105" s="114">
        <f>'Inputs by customer type'!N70</f>
        <v>0</v>
      </c>
      <c r="O105" s="114">
        <f>'Inputs by customer type'!O70</f>
        <v>0</v>
      </c>
      <c r="P105" s="114">
        <f>'Inputs by customer type'!P70</f>
        <v>0</v>
      </c>
      <c r="Q105" s="73"/>
      <c r="R105" s="114">
        <f>'Inputs by customer type'!R70</f>
        <v>29.156000000000002</v>
      </c>
      <c r="S105" s="73"/>
      <c r="T105" s="114">
        <f>'Inputs by customer type'!T70</f>
        <v>5.6150000000000002</v>
      </c>
      <c r="U105" s="73"/>
      <c r="V105" s="73"/>
      <c r="W105" s="73"/>
      <c r="X105" s="73"/>
      <c r="Y105" s="73"/>
      <c r="AQ105" s="3"/>
    </row>
    <row r="106" spans="3:43" x14ac:dyDescent="0.35">
      <c r="E106" s="27"/>
      <c r="F106" s="62" t="s">
        <v>248</v>
      </c>
      <c r="G106" s="62" t="s">
        <v>207</v>
      </c>
      <c r="J106" s="316"/>
      <c r="K106" s="318">
        <f>'Inputs by customer type'!K71</f>
        <v>0</v>
      </c>
      <c r="L106" s="318">
        <f>'Inputs by customer type'!L71</f>
        <v>2.8010158597995578</v>
      </c>
      <c r="M106" s="318">
        <f>'Inputs by customer type'!M71</f>
        <v>84.194128157331988</v>
      </c>
      <c r="N106" s="318">
        <f>'Inputs by customer type'!N71</f>
        <v>0</v>
      </c>
      <c r="O106" s="318">
        <f>'Inputs by customer type'!O71</f>
        <v>0</v>
      </c>
      <c r="P106" s="318">
        <f>'Inputs by customer type'!P71</f>
        <v>0</v>
      </c>
      <c r="Q106" s="316"/>
      <c r="R106" s="318">
        <f>'Inputs by customer type'!R71</f>
        <v>236.631</v>
      </c>
      <c r="S106" s="316"/>
      <c r="T106" s="318">
        <f>'Inputs by customer type'!T71</f>
        <v>64.233000000000004</v>
      </c>
      <c r="U106" s="316"/>
      <c r="V106" s="316"/>
      <c r="W106" s="316"/>
      <c r="X106" s="316"/>
      <c r="Y106" s="316"/>
      <c r="AQ106" s="3"/>
    </row>
    <row r="107" spans="3:43" x14ac:dyDescent="0.35">
      <c r="E107" s="27"/>
      <c r="F107" s="62" t="s">
        <v>249</v>
      </c>
      <c r="G107" s="62" t="s">
        <v>207</v>
      </c>
      <c r="J107" s="316"/>
      <c r="K107" s="318">
        <f>'Inputs by customer type'!K72</f>
        <v>0</v>
      </c>
      <c r="L107" s="318">
        <f>'Inputs by customer type'!L72</f>
        <v>1.3052759364009814</v>
      </c>
      <c r="M107" s="318">
        <f>'Inputs by customer type'!M72</f>
        <v>38.11077354248728</v>
      </c>
      <c r="N107" s="318">
        <f>'Inputs by customer type'!N72</f>
        <v>0</v>
      </c>
      <c r="O107" s="318">
        <f>'Inputs by customer type'!O72</f>
        <v>0</v>
      </c>
      <c r="P107" s="318">
        <f>'Inputs by customer type'!P72</f>
        <v>0</v>
      </c>
      <c r="Q107" s="316"/>
      <c r="R107" s="318">
        <f>'Inputs by customer type'!R72</f>
        <v>21.694000000000003</v>
      </c>
      <c r="S107" s="316"/>
      <c r="T107" s="318">
        <f>'Inputs by customer type'!T72</f>
        <v>2.7059999999999991</v>
      </c>
      <c r="U107" s="316"/>
      <c r="V107" s="316"/>
      <c r="W107" s="316"/>
      <c r="X107" s="316"/>
      <c r="Y107" s="316"/>
      <c r="AQ107" s="3"/>
    </row>
    <row r="108" spans="3:43" x14ac:dyDescent="0.35">
      <c r="E108" s="27"/>
      <c r="F108" s="62" t="s">
        <v>212</v>
      </c>
      <c r="G108" s="62" t="s">
        <v>212</v>
      </c>
      <c r="J108" s="316"/>
      <c r="K108" s="318">
        <f>'Inputs by customer type'!K73</f>
        <v>0</v>
      </c>
      <c r="L108" s="318">
        <f>'Inputs by customer type'!L73</f>
        <v>1.1689037165358789</v>
      </c>
      <c r="M108" s="318">
        <f>'Inputs by customer type'!M73</f>
        <v>3.0357142857142851</v>
      </c>
      <c r="N108" s="318">
        <f>'Inputs by customer type'!N73</f>
        <v>0</v>
      </c>
      <c r="O108" s="318">
        <f>'Inputs by customer type'!O73</f>
        <v>0</v>
      </c>
      <c r="P108" s="318">
        <f>'Inputs by customer type'!P73</f>
        <v>0</v>
      </c>
      <c r="Q108" s="316"/>
      <c r="R108" s="318">
        <f>'Inputs by customer type'!R73</f>
        <v>104.41935483870968</v>
      </c>
      <c r="S108" s="316"/>
      <c r="T108" s="318">
        <f>'Inputs by customer type'!T73</f>
        <v>1</v>
      </c>
      <c r="U108" s="316"/>
      <c r="V108" s="316"/>
      <c r="W108" s="316"/>
      <c r="X108" s="316"/>
      <c r="Y108" s="316"/>
      <c r="AQ108" s="3"/>
    </row>
    <row r="109" spans="3:43" x14ac:dyDescent="0.35">
      <c r="E109" s="27"/>
      <c r="F109" s="62" t="s">
        <v>250</v>
      </c>
      <c r="G109" s="62" t="s">
        <v>251</v>
      </c>
      <c r="J109" s="316"/>
      <c r="K109" s="318">
        <f>'Inputs by customer type'!K74</f>
        <v>0</v>
      </c>
      <c r="L109" s="318">
        <f>'Inputs by customer type'!L74</f>
        <v>0</v>
      </c>
      <c r="M109" s="318">
        <f>'Inputs by customer type'!M74</f>
        <v>0</v>
      </c>
      <c r="N109" s="318">
        <f>'Inputs by customer type'!N74</f>
        <v>0</v>
      </c>
      <c r="O109" s="318">
        <f>'Inputs by customer type'!O74</f>
        <v>0</v>
      </c>
      <c r="P109" s="318">
        <f>'Inputs by customer type'!P74</f>
        <v>0</v>
      </c>
      <c r="Q109" s="316"/>
      <c r="R109" s="318">
        <f>'Inputs by customer type'!R74</f>
        <v>0</v>
      </c>
      <c r="S109" s="316"/>
      <c r="T109" s="318">
        <f>'Inputs by customer type'!T74</f>
        <v>0</v>
      </c>
      <c r="U109" s="316"/>
      <c r="V109" s="316"/>
      <c r="W109" s="316"/>
      <c r="X109" s="316"/>
      <c r="Y109" s="316"/>
      <c r="AQ109" s="3"/>
    </row>
    <row r="110" spans="3:43" x14ac:dyDescent="0.35">
      <c r="E110" s="27"/>
      <c r="F110" s="62" t="s">
        <v>252</v>
      </c>
      <c r="G110" s="62" t="s">
        <v>251</v>
      </c>
      <c r="J110" s="316"/>
      <c r="K110" s="318">
        <f>'Inputs by customer type'!K75</f>
        <v>0</v>
      </c>
      <c r="L110" s="318">
        <f>'Inputs by customer type'!L75</f>
        <v>0</v>
      </c>
      <c r="M110" s="318">
        <f>'Inputs by customer type'!M75</f>
        <v>0</v>
      </c>
      <c r="N110" s="318">
        <f>'Inputs by customer type'!N75</f>
        <v>0</v>
      </c>
      <c r="O110" s="318">
        <f>'Inputs by customer type'!O75</f>
        <v>0</v>
      </c>
      <c r="P110" s="318">
        <f>'Inputs by customer type'!P75</f>
        <v>0</v>
      </c>
      <c r="Q110" s="316"/>
      <c r="R110" s="318">
        <f>'Inputs by customer type'!R75</f>
        <v>0</v>
      </c>
      <c r="S110" s="316"/>
      <c r="T110" s="318">
        <f>'Inputs by customer type'!T75</f>
        <v>0</v>
      </c>
      <c r="U110" s="316"/>
      <c r="V110" s="316"/>
      <c r="W110" s="316"/>
      <c r="X110" s="316"/>
      <c r="Y110" s="316"/>
      <c r="AQ110" s="3"/>
    </row>
    <row r="111" spans="3:43" x14ac:dyDescent="0.35">
      <c r="E111" s="27"/>
      <c r="F111" s="70" t="s">
        <v>253</v>
      </c>
      <c r="G111" s="70" t="s">
        <v>254</v>
      </c>
      <c r="H111" s="28"/>
      <c r="I111" s="28"/>
      <c r="J111" s="71"/>
      <c r="K111" s="115">
        <f>'Inputs by customer type'!K76</f>
        <v>0</v>
      </c>
      <c r="L111" s="115">
        <f>'Inputs by customer type'!L76</f>
        <v>0</v>
      </c>
      <c r="M111" s="115">
        <f>'Inputs by customer type'!M76</f>
        <v>0</v>
      </c>
      <c r="N111" s="115">
        <f>'Inputs by customer type'!N76</f>
        <v>0</v>
      </c>
      <c r="O111" s="115">
        <f>'Inputs by customer type'!O76</f>
        <v>0</v>
      </c>
      <c r="P111" s="115">
        <f>'Inputs by customer type'!P76</f>
        <v>0</v>
      </c>
      <c r="Q111" s="71"/>
      <c r="R111" s="115">
        <f>'Inputs by customer type'!R76</f>
        <v>0</v>
      </c>
      <c r="S111" s="71"/>
      <c r="T111" s="115">
        <f>'Inputs by customer type'!T76</f>
        <v>1.3384781668828363</v>
      </c>
      <c r="U111" s="71"/>
      <c r="V111" s="71"/>
      <c r="W111" s="71"/>
      <c r="X111" s="71"/>
      <c r="Y111" s="71"/>
      <c r="AQ111" s="3"/>
    </row>
    <row r="112" spans="3:43" x14ac:dyDescent="0.35">
      <c r="C112" s="24"/>
      <c r="AQ112" s="3"/>
    </row>
    <row r="113" spans="5:43" x14ac:dyDescent="0.35">
      <c r="E113" s="27" t="s">
        <v>948</v>
      </c>
      <c r="G113" s="12"/>
      <c r="I113" t="s">
        <v>154</v>
      </c>
      <c r="AQ113" s="3"/>
    </row>
    <row r="114" spans="5:43" x14ac:dyDescent="0.35">
      <c r="E114" s="27"/>
      <c r="F114" s="68" t="s">
        <v>247</v>
      </c>
      <c r="G114" s="68" t="s">
        <v>207</v>
      </c>
      <c r="H114" s="19"/>
      <c r="I114" s="19"/>
      <c r="J114" s="114">
        <f>'Inputs by customer type'!J79</f>
        <v>7691.139404590519</v>
      </c>
      <c r="K114" s="73"/>
      <c r="L114" s="114">
        <f>'Inputs by customer type'!L79</f>
        <v>300.32169312177052</v>
      </c>
      <c r="M114" s="73"/>
      <c r="N114" s="114">
        <f>'Inputs by customer type'!N79</f>
        <v>150.45430787791497</v>
      </c>
      <c r="O114" s="114">
        <f>'Inputs by customer type'!O79</f>
        <v>0</v>
      </c>
      <c r="P114" s="114">
        <f>'Inputs by customer type'!P79</f>
        <v>0</v>
      </c>
      <c r="Q114" s="114">
        <f>'Inputs by customer type'!Q79</f>
        <v>5.3186150842555566</v>
      </c>
      <c r="R114" s="73"/>
      <c r="S114" s="73"/>
      <c r="T114" s="73"/>
      <c r="U114" s="73"/>
      <c r="V114" s="73"/>
      <c r="W114" s="73"/>
      <c r="X114" s="73"/>
      <c r="Y114" s="73"/>
      <c r="AQ114" s="3"/>
    </row>
    <row r="115" spans="5:43" x14ac:dyDescent="0.35">
      <c r="E115" s="27"/>
      <c r="F115" s="62" t="s">
        <v>248</v>
      </c>
      <c r="G115" s="62" t="s">
        <v>207</v>
      </c>
      <c r="J115" s="318">
        <f>'Inputs by customer type'!J80</f>
        <v>33745.422899500707</v>
      </c>
      <c r="K115" s="316"/>
      <c r="L115" s="318">
        <f>'Inputs by customer type'!L80</f>
        <v>1886.2805282966051</v>
      </c>
      <c r="M115" s="316"/>
      <c r="N115" s="318">
        <f>'Inputs by customer type'!N80</f>
        <v>891.14116200582839</v>
      </c>
      <c r="O115" s="318">
        <f>'Inputs by customer type'!O80</f>
        <v>0</v>
      </c>
      <c r="P115" s="318">
        <f>'Inputs by customer type'!P80</f>
        <v>0</v>
      </c>
      <c r="Q115" s="318">
        <f>'Inputs by customer type'!Q80</f>
        <v>36.767992719145923</v>
      </c>
      <c r="R115" s="316"/>
      <c r="S115" s="316"/>
      <c r="T115" s="316"/>
      <c r="U115" s="316"/>
      <c r="V115" s="316"/>
      <c r="W115" s="316"/>
      <c r="X115" s="316"/>
      <c r="Y115" s="316"/>
      <c r="AQ115" s="3"/>
    </row>
    <row r="116" spans="5:43" x14ac:dyDescent="0.35">
      <c r="E116" s="27"/>
      <c r="F116" s="62" t="s">
        <v>249</v>
      </c>
      <c r="G116" s="62" t="s">
        <v>207</v>
      </c>
      <c r="J116" s="318">
        <f>'Inputs by customer type'!J81</f>
        <v>16590.570421278677</v>
      </c>
      <c r="K116" s="316"/>
      <c r="L116" s="318">
        <f>'Inputs by customer type'!L81</f>
        <v>879.00844055323546</v>
      </c>
      <c r="M116" s="316"/>
      <c r="N116" s="318">
        <f>'Inputs by customer type'!N81</f>
        <v>507.94335818651399</v>
      </c>
      <c r="O116" s="318">
        <f>'Inputs by customer type'!O81</f>
        <v>0</v>
      </c>
      <c r="P116" s="318">
        <f>'Inputs by customer type'!P81</f>
        <v>0</v>
      </c>
      <c r="Q116" s="318">
        <f>'Inputs by customer type'!Q81</f>
        <v>30.624798657932054</v>
      </c>
      <c r="R116" s="316"/>
      <c r="S116" s="316"/>
      <c r="T116" s="316"/>
      <c r="U116" s="316"/>
      <c r="V116" s="316"/>
      <c r="W116" s="316"/>
      <c r="X116" s="316"/>
      <c r="Y116" s="316"/>
      <c r="AQ116" s="3"/>
    </row>
    <row r="117" spans="5:43" x14ac:dyDescent="0.35">
      <c r="E117" s="27"/>
      <c r="F117" s="62" t="s">
        <v>212</v>
      </c>
      <c r="G117" s="62" t="s">
        <v>212</v>
      </c>
      <c r="J117" s="318">
        <f>'Inputs by customer type'!J82</f>
        <v>34816.432226804616</v>
      </c>
      <c r="K117" s="316"/>
      <c r="L117" s="318">
        <f>'Inputs by customer type'!L82</f>
        <v>517.82434642539442</v>
      </c>
      <c r="M117" s="316"/>
      <c r="N117" s="318">
        <f>'Inputs by customer type'!N82</f>
        <v>29.520983168780315</v>
      </c>
      <c r="O117" s="318">
        <f>'Inputs by customer type'!O82</f>
        <v>0</v>
      </c>
      <c r="P117" s="318">
        <f>'Inputs by customer type'!P82</f>
        <v>0</v>
      </c>
      <c r="Q117" s="318">
        <f>'Inputs by customer type'!Q82</f>
        <v>71</v>
      </c>
      <c r="R117" s="316"/>
      <c r="S117" s="316"/>
      <c r="T117" s="316"/>
      <c r="U117" s="316"/>
      <c r="V117" s="316"/>
      <c r="W117" s="316"/>
      <c r="X117" s="316"/>
      <c r="Y117" s="316"/>
      <c r="AQ117" s="3"/>
    </row>
    <row r="118" spans="5:43" x14ac:dyDescent="0.35">
      <c r="E118" s="27"/>
      <c r="F118" s="62" t="s">
        <v>250</v>
      </c>
      <c r="G118" s="62" t="s">
        <v>251</v>
      </c>
      <c r="J118" s="318">
        <f>'Inputs by customer type'!J83</f>
        <v>0</v>
      </c>
      <c r="K118" s="316"/>
      <c r="L118" s="318">
        <f>'Inputs by customer type'!L83</f>
        <v>0</v>
      </c>
      <c r="M118" s="316"/>
      <c r="N118" s="318">
        <f>'Inputs by customer type'!N83</f>
        <v>3317.1094502191418</v>
      </c>
      <c r="O118" s="318">
        <f>'Inputs by customer type'!O83</f>
        <v>0</v>
      </c>
      <c r="P118" s="318">
        <f>'Inputs by customer type'!P83</f>
        <v>0</v>
      </c>
      <c r="Q118" s="318">
        <f>'Inputs by customer type'!Q83</f>
        <v>0</v>
      </c>
      <c r="R118" s="316"/>
      <c r="S118" s="316"/>
      <c r="T118" s="316"/>
      <c r="U118" s="316"/>
      <c r="V118" s="316"/>
      <c r="W118" s="316"/>
      <c r="X118" s="316"/>
      <c r="Y118" s="316"/>
      <c r="AQ118" s="3"/>
    </row>
    <row r="119" spans="5:43" x14ac:dyDescent="0.35">
      <c r="E119" s="27"/>
      <c r="F119" s="62" t="s">
        <v>252</v>
      </c>
      <c r="G119" s="62" t="s">
        <v>251</v>
      </c>
      <c r="J119" s="318">
        <f>'Inputs by customer type'!J84</f>
        <v>0</v>
      </c>
      <c r="K119" s="316"/>
      <c r="L119" s="318">
        <f>'Inputs by customer type'!L84</f>
        <v>0</v>
      </c>
      <c r="M119" s="316"/>
      <c r="N119" s="318">
        <f>'Inputs by customer type'!N84</f>
        <v>7.1938587981151887</v>
      </c>
      <c r="O119" s="318">
        <f>'Inputs by customer type'!O84</f>
        <v>0</v>
      </c>
      <c r="P119" s="318">
        <f>'Inputs by customer type'!P84</f>
        <v>0</v>
      </c>
      <c r="Q119" s="318">
        <f>'Inputs by customer type'!Q84</f>
        <v>0</v>
      </c>
      <c r="R119" s="316"/>
      <c r="S119" s="316"/>
      <c r="T119" s="316"/>
      <c r="U119" s="316"/>
      <c r="V119" s="316"/>
      <c r="W119" s="316"/>
      <c r="X119" s="316"/>
      <c r="Y119" s="316"/>
      <c r="AQ119" s="3"/>
    </row>
    <row r="120" spans="5:43" x14ac:dyDescent="0.35">
      <c r="E120" s="27"/>
      <c r="F120" s="70" t="s">
        <v>253</v>
      </c>
      <c r="G120" s="70" t="s">
        <v>254</v>
      </c>
      <c r="H120" s="28"/>
      <c r="I120" s="28"/>
      <c r="J120" s="115">
        <f>'Inputs by customer type'!J85</f>
        <v>0</v>
      </c>
      <c r="K120" s="71"/>
      <c r="L120" s="115">
        <f>'Inputs by customer type'!L85</f>
        <v>0</v>
      </c>
      <c r="M120" s="71"/>
      <c r="N120" s="115">
        <f>'Inputs by customer type'!N85</f>
        <v>256.6441034040792</v>
      </c>
      <c r="O120" s="115">
        <f>'Inputs by customer type'!O85</f>
        <v>0</v>
      </c>
      <c r="P120" s="115">
        <f>'Inputs by customer type'!P85</f>
        <v>0</v>
      </c>
      <c r="Q120" s="115">
        <f>'Inputs by customer type'!Q85</f>
        <v>0</v>
      </c>
      <c r="R120" s="71"/>
      <c r="S120" s="71"/>
      <c r="T120" s="71"/>
      <c r="U120" s="71"/>
      <c r="V120" s="71"/>
      <c r="W120" s="71"/>
      <c r="X120" s="71"/>
      <c r="Y120" s="71"/>
      <c r="AQ120" s="3"/>
    </row>
    <row r="121" spans="5:43" x14ac:dyDescent="0.35">
      <c r="AQ121" s="3"/>
    </row>
    <row r="122" spans="5:43" x14ac:dyDescent="0.35">
      <c r="E122" s="27" t="s">
        <v>949</v>
      </c>
      <c r="G122" s="12"/>
      <c r="I122" t="s">
        <v>154</v>
      </c>
      <c r="AQ122" s="3"/>
    </row>
    <row r="123" spans="5:43" x14ac:dyDescent="0.35">
      <c r="E123" s="27"/>
      <c r="F123" s="68" t="s">
        <v>247</v>
      </c>
      <c r="G123" s="68" t="s">
        <v>207</v>
      </c>
      <c r="H123" s="19"/>
      <c r="I123" s="19"/>
      <c r="J123" s="73"/>
      <c r="K123" s="73"/>
      <c r="L123" s="114">
        <f>'Inputs by customer type'!L88</f>
        <v>106.91967872835548</v>
      </c>
      <c r="M123" s="73"/>
      <c r="N123" s="114">
        <f>'Inputs by customer type'!N88</f>
        <v>398.82480495040681</v>
      </c>
      <c r="O123" s="114">
        <f>'Inputs by customer type'!O88</f>
        <v>0</v>
      </c>
      <c r="P123" s="114">
        <f>'Inputs by customer type'!P88</f>
        <v>0</v>
      </c>
      <c r="Q123" s="73"/>
      <c r="R123" s="73"/>
      <c r="S123" s="73"/>
      <c r="T123" s="73"/>
      <c r="U123" s="73"/>
      <c r="V123" s="73"/>
      <c r="W123" s="73"/>
      <c r="X123" s="73"/>
      <c r="Y123" s="73"/>
      <c r="AQ123" s="3"/>
    </row>
    <row r="124" spans="5:43" x14ac:dyDescent="0.35">
      <c r="E124" s="27"/>
      <c r="F124" s="62" t="s">
        <v>248</v>
      </c>
      <c r="G124" s="62" t="s">
        <v>207</v>
      </c>
      <c r="J124" s="316"/>
      <c r="K124" s="316"/>
      <c r="L124" s="318">
        <f>'Inputs by customer type'!L89</f>
        <v>671.54825207798388</v>
      </c>
      <c r="M124" s="316"/>
      <c r="N124" s="318">
        <f>'Inputs by customer type'!N89</f>
        <v>2362.2401055385371</v>
      </c>
      <c r="O124" s="318">
        <f>'Inputs by customer type'!O89</f>
        <v>0</v>
      </c>
      <c r="P124" s="318">
        <f>'Inputs by customer type'!P89</f>
        <v>0</v>
      </c>
      <c r="Q124" s="316"/>
      <c r="R124" s="316"/>
      <c r="S124" s="316"/>
      <c r="T124" s="316"/>
      <c r="U124" s="316"/>
      <c r="V124" s="316"/>
      <c r="W124" s="316"/>
      <c r="X124" s="316"/>
      <c r="Y124" s="316"/>
      <c r="AQ124" s="3"/>
    </row>
    <row r="125" spans="5:43" x14ac:dyDescent="0.35">
      <c r="E125" s="27"/>
      <c r="F125" s="62" t="s">
        <v>249</v>
      </c>
      <c r="G125" s="62" t="s">
        <v>207</v>
      </c>
      <c r="J125" s="316"/>
      <c r="K125" s="316"/>
      <c r="L125" s="318">
        <f>'Inputs by customer type'!L90</f>
        <v>312.94209581243126</v>
      </c>
      <c r="M125" s="316"/>
      <c r="N125" s="318">
        <f>'Inputs by customer type'!N90</f>
        <v>1346.4580284332799</v>
      </c>
      <c r="O125" s="318">
        <f>'Inputs by customer type'!O90</f>
        <v>0</v>
      </c>
      <c r="P125" s="318">
        <f>'Inputs by customer type'!P90</f>
        <v>0</v>
      </c>
      <c r="Q125" s="316"/>
      <c r="R125" s="316"/>
      <c r="S125" s="316"/>
      <c r="T125" s="316"/>
      <c r="U125" s="316"/>
      <c r="V125" s="316"/>
      <c r="W125" s="316"/>
      <c r="X125" s="316"/>
      <c r="Y125" s="316"/>
      <c r="AQ125" s="3"/>
    </row>
    <row r="126" spans="5:43" x14ac:dyDescent="0.35">
      <c r="E126" s="27"/>
      <c r="F126" s="62" t="s">
        <v>212</v>
      </c>
      <c r="G126" s="62" t="s">
        <v>212</v>
      </c>
      <c r="J126" s="316"/>
      <c r="K126" s="316"/>
      <c r="L126" s="318">
        <f>'Inputs by customer type'!L91</f>
        <v>170.47140975673258</v>
      </c>
      <c r="M126" s="316"/>
      <c r="N126" s="318">
        <f>'Inputs by customer type'!N91</f>
        <v>80.649736147757281</v>
      </c>
      <c r="O126" s="318">
        <f>'Inputs by customer type'!O91</f>
        <v>0</v>
      </c>
      <c r="P126" s="318">
        <f>'Inputs by customer type'!P91</f>
        <v>0</v>
      </c>
      <c r="Q126" s="316"/>
      <c r="R126" s="316"/>
      <c r="S126" s="316"/>
      <c r="T126" s="316"/>
      <c r="U126" s="316"/>
      <c r="V126" s="316"/>
      <c r="W126" s="316"/>
      <c r="X126" s="316"/>
      <c r="Y126" s="316"/>
      <c r="AQ126" s="3"/>
    </row>
    <row r="127" spans="5:43" x14ac:dyDescent="0.35">
      <c r="E127" s="27"/>
      <c r="F127" s="62" t="s">
        <v>250</v>
      </c>
      <c r="G127" s="62" t="s">
        <v>251</v>
      </c>
      <c r="J127" s="316"/>
      <c r="K127" s="316"/>
      <c r="L127" s="318">
        <f>'Inputs by customer type'!L92</f>
        <v>0</v>
      </c>
      <c r="M127" s="316"/>
      <c r="N127" s="318">
        <f>'Inputs by customer type'!N92</f>
        <v>8793.0053193046151</v>
      </c>
      <c r="O127" s="318">
        <f>'Inputs by customer type'!O92</f>
        <v>0</v>
      </c>
      <c r="P127" s="318">
        <f>'Inputs by customer type'!P92</f>
        <v>0</v>
      </c>
      <c r="Q127" s="316"/>
      <c r="R127" s="316"/>
      <c r="S127" s="316"/>
      <c r="T127" s="316"/>
      <c r="U127" s="316"/>
      <c r="V127" s="316"/>
      <c r="W127" s="316"/>
      <c r="X127" s="316"/>
      <c r="Y127" s="316"/>
      <c r="AQ127" s="3"/>
    </row>
    <row r="128" spans="5:43" x14ac:dyDescent="0.35">
      <c r="E128" s="27"/>
      <c r="F128" s="62" t="s">
        <v>252</v>
      </c>
      <c r="G128" s="62" t="s">
        <v>251</v>
      </c>
      <c r="J128" s="316"/>
      <c r="K128" s="316"/>
      <c r="L128" s="318">
        <f>'Inputs by customer type'!L93</f>
        <v>0</v>
      </c>
      <c r="M128" s="316"/>
      <c r="N128" s="318">
        <f>'Inputs by customer type'!N93</f>
        <v>19.069506034530825</v>
      </c>
      <c r="O128" s="318">
        <f>'Inputs by customer type'!O93</f>
        <v>0</v>
      </c>
      <c r="P128" s="318">
        <f>'Inputs by customer type'!P93</f>
        <v>0</v>
      </c>
      <c r="Q128" s="316"/>
      <c r="R128" s="316"/>
      <c r="S128" s="316"/>
      <c r="T128" s="316"/>
      <c r="U128" s="316"/>
      <c r="V128" s="316"/>
      <c r="W128" s="316"/>
      <c r="X128" s="316"/>
      <c r="Y128" s="316"/>
      <c r="AQ128" s="3"/>
    </row>
    <row r="129" spans="5:43" x14ac:dyDescent="0.35">
      <c r="E129" s="27"/>
      <c r="F129" s="70" t="s">
        <v>253</v>
      </c>
      <c r="G129" s="70" t="s">
        <v>254</v>
      </c>
      <c r="H129" s="28"/>
      <c r="I129" s="28"/>
      <c r="J129" s="71"/>
      <c r="K129" s="71"/>
      <c r="L129" s="115">
        <f>'Inputs by customer type'!L94</f>
        <v>0</v>
      </c>
      <c r="M129" s="71"/>
      <c r="N129" s="115">
        <f>'Inputs by customer type'!N94</f>
        <v>680.31308591615721</v>
      </c>
      <c r="O129" s="115">
        <f>'Inputs by customer type'!O94</f>
        <v>0</v>
      </c>
      <c r="P129" s="115">
        <f>'Inputs by customer type'!P94</f>
        <v>0</v>
      </c>
      <c r="Q129" s="71"/>
      <c r="R129" s="71"/>
      <c r="S129" s="71"/>
      <c r="T129" s="71"/>
      <c r="U129" s="71"/>
      <c r="V129" s="71"/>
      <c r="W129" s="71"/>
      <c r="X129" s="71"/>
      <c r="Y129" s="71"/>
      <c r="AQ129" s="3"/>
    </row>
    <row r="130" spans="5:43" x14ac:dyDescent="0.35">
      <c r="AQ130" s="3"/>
    </row>
    <row r="131" spans="5:43" x14ac:dyDescent="0.35">
      <c r="E131" s="27" t="s">
        <v>950</v>
      </c>
      <c r="G131" s="12"/>
      <c r="I131" t="s">
        <v>154</v>
      </c>
      <c r="AQ131" s="3"/>
    </row>
    <row r="132" spans="5:43" x14ac:dyDescent="0.35">
      <c r="E132" s="27"/>
      <c r="F132" s="68" t="s">
        <v>247</v>
      </c>
      <c r="G132" s="68" t="s">
        <v>207</v>
      </c>
      <c r="H132" s="19"/>
      <c r="I132" s="19"/>
      <c r="J132" s="73"/>
      <c r="K132" s="73"/>
      <c r="L132" s="114">
        <f>'Inputs by customer type'!L97</f>
        <v>194.72293419892159</v>
      </c>
      <c r="M132" s="73"/>
      <c r="N132" s="114">
        <f>'Inputs by customer type'!N97</f>
        <v>671.5658704110067</v>
      </c>
      <c r="O132" s="114">
        <f>'Inputs by customer type'!O97</f>
        <v>0</v>
      </c>
      <c r="P132" s="114">
        <f>'Inputs by customer type'!P97</f>
        <v>0</v>
      </c>
      <c r="Q132" s="73"/>
      <c r="R132" s="73"/>
      <c r="S132" s="73"/>
      <c r="T132" s="73"/>
      <c r="U132" s="73"/>
      <c r="V132" s="73"/>
      <c r="W132" s="73"/>
      <c r="X132" s="73"/>
      <c r="Y132" s="73"/>
      <c r="AQ132" s="3"/>
    </row>
    <row r="133" spans="5:43" x14ac:dyDescent="0.35">
      <c r="E133" s="27"/>
      <c r="F133" s="62" t="s">
        <v>248</v>
      </c>
      <c r="G133" s="62" t="s">
        <v>207</v>
      </c>
      <c r="J133" s="316"/>
      <c r="K133" s="316"/>
      <c r="L133" s="318">
        <f>'Inputs by customer type'!L98</f>
        <v>1223.0287974677808</v>
      </c>
      <c r="M133" s="316"/>
      <c r="N133" s="318">
        <f>'Inputs by customer type'!N98</f>
        <v>3977.6859736521201</v>
      </c>
      <c r="O133" s="318">
        <f>'Inputs by customer type'!O98</f>
        <v>0</v>
      </c>
      <c r="P133" s="318">
        <f>'Inputs by customer type'!P98</f>
        <v>0</v>
      </c>
      <c r="Q133" s="316"/>
      <c r="R133" s="316"/>
      <c r="S133" s="316"/>
      <c r="T133" s="316"/>
      <c r="U133" s="316"/>
      <c r="V133" s="316"/>
      <c r="W133" s="316"/>
      <c r="X133" s="316"/>
      <c r="Y133" s="316"/>
      <c r="AQ133" s="3"/>
    </row>
    <row r="134" spans="5:43" x14ac:dyDescent="0.35">
      <c r="E134" s="27"/>
      <c r="F134" s="62" t="s">
        <v>249</v>
      </c>
      <c r="G134" s="62" t="s">
        <v>207</v>
      </c>
      <c r="J134" s="316"/>
      <c r="K134" s="316"/>
      <c r="L134" s="318">
        <f>'Inputs by customer type'!L99</f>
        <v>569.93253118329801</v>
      </c>
      <c r="M134" s="316"/>
      <c r="N134" s="318">
        <f>'Inputs by customer type'!N99</f>
        <v>2267.2492949607877</v>
      </c>
      <c r="O134" s="318">
        <f>'Inputs by customer type'!O99</f>
        <v>0</v>
      </c>
      <c r="P134" s="318">
        <f>'Inputs by customer type'!P99</f>
        <v>0</v>
      </c>
      <c r="Q134" s="316"/>
      <c r="R134" s="316"/>
      <c r="S134" s="316"/>
      <c r="T134" s="316"/>
      <c r="U134" s="316"/>
      <c r="V134" s="316"/>
      <c r="W134" s="316"/>
      <c r="X134" s="316"/>
      <c r="Y134" s="316"/>
      <c r="AQ134" s="3"/>
    </row>
    <row r="135" spans="5:43" x14ac:dyDescent="0.35">
      <c r="E135" s="27"/>
      <c r="F135" s="62" t="s">
        <v>212</v>
      </c>
      <c r="G135" s="62" t="s">
        <v>212</v>
      </c>
      <c r="J135" s="316"/>
      <c r="K135" s="316"/>
      <c r="L135" s="318">
        <f>'Inputs by customer type'!L100</f>
        <v>211.60927926449529</v>
      </c>
      <c r="M135" s="316"/>
      <c r="N135" s="318">
        <f>'Inputs by customer type'!N100</f>
        <v>76.458262405311061</v>
      </c>
      <c r="O135" s="318">
        <f>'Inputs by customer type'!O100</f>
        <v>0</v>
      </c>
      <c r="P135" s="318">
        <f>'Inputs by customer type'!P100</f>
        <v>0</v>
      </c>
      <c r="Q135" s="316"/>
      <c r="R135" s="316"/>
      <c r="S135" s="316"/>
      <c r="T135" s="316"/>
      <c r="U135" s="316"/>
      <c r="V135" s="316"/>
      <c r="W135" s="316"/>
      <c r="X135" s="316"/>
      <c r="Y135" s="316"/>
      <c r="AQ135" s="3"/>
    </row>
    <row r="136" spans="5:43" x14ac:dyDescent="0.35">
      <c r="E136" s="27"/>
      <c r="F136" s="62" t="s">
        <v>250</v>
      </c>
      <c r="G136" s="62" t="s">
        <v>251</v>
      </c>
      <c r="J136" s="316"/>
      <c r="K136" s="316"/>
      <c r="L136" s="318">
        <f>'Inputs by customer type'!L101</f>
        <v>0</v>
      </c>
      <c r="M136" s="316"/>
      <c r="N136" s="318">
        <f>'Inputs by customer type'!N101</f>
        <v>14806.206127328769</v>
      </c>
      <c r="O136" s="318">
        <f>'Inputs by customer type'!O101</f>
        <v>0</v>
      </c>
      <c r="P136" s="318">
        <f>'Inputs by customer type'!P101</f>
        <v>0</v>
      </c>
      <c r="Q136" s="316"/>
      <c r="R136" s="316"/>
      <c r="S136" s="316"/>
      <c r="T136" s="316"/>
      <c r="U136" s="316"/>
      <c r="V136" s="316"/>
      <c r="W136" s="316"/>
      <c r="X136" s="316"/>
      <c r="Y136" s="316"/>
      <c r="AQ136" s="3"/>
    </row>
    <row r="137" spans="5:43" x14ac:dyDescent="0.35">
      <c r="E137" s="27"/>
      <c r="F137" s="62" t="s">
        <v>252</v>
      </c>
      <c r="G137" s="62" t="s">
        <v>251</v>
      </c>
      <c r="J137" s="316"/>
      <c r="K137" s="316"/>
      <c r="L137" s="318">
        <f>'Inputs by customer type'!L102</f>
        <v>0</v>
      </c>
      <c r="M137" s="316"/>
      <c r="N137" s="318">
        <f>'Inputs by customer type'!N102</f>
        <v>32.110413543561052</v>
      </c>
      <c r="O137" s="318">
        <f>'Inputs by customer type'!O102</f>
        <v>0</v>
      </c>
      <c r="P137" s="318">
        <f>'Inputs by customer type'!P102</f>
        <v>0</v>
      </c>
      <c r="Q137" s="316"/>
      <c r="R137" s="316"/>
      <c r="S137" s="316"/>
      <c r="T137" s="316"/>
      <c r="U137" s="316"/>
      <c r="V137" s="316"/>
      <c r="W137" s="316"/>
      <c r="X137" s="316"/>
      <c r="Y137" s="316"/>
      <c r="AQ137" s="3"/>
    </row>
    <row r="138" spans="5:43" x14ac:dyDescent="0.35">
      <c r="E138" s="27"/>
      <c r="F138" s="70" t="s">
        <v>253</v>
      </c>
      <c r="G138" s="70" t="s">
        <v>254</v>
      </c>
      <c r="H138" s="28"/>
      <c r="I138" s="28"/>
      <c r="J138" s="71"/>
      <c r="K138" s="71"/>
      <c r="L138" s="115">
        <f>'Inputs by customer type'!L103</f>
        <v>0</v>
      </c>
      <c r="M138" s="71"/>
      <c r="N138" s="115">
        <f>'Inputs by customer type'!N103</f>
        <v>1145.5532454960862</v>
      </c>
      <c r="O138" s="115">
        <f>'Inputs by customer type'!O103</f>
        <v>0</v>
      </c>
      <c r="P138" s="115">
        <f>'Inputs by customer type'!P103</f>
        <v>0</v>
      </c>
      <c r="Q138" s="71"/>
      <c r="R138" s="71"/>
      <c r="S138" s="71"/>
      <c r="T138" s="71"/>
      <c r="U138" s="71"/>
      <c r="V138" s="71"/>
      <c r="W138" s="71"/>
      <c r="X138" s="71"/>
      <c r="Y138" s="71"/>
      <c r="AQ138" s="3"/>
    </row>
    <row r="139" spans="5:43" x14ac:dyDescent="0.35">
      <c r="AQ139" s="3"/>
    </row>
    <row r="140" spans="5:43" x14ac:dyDescent="0.35">
      <c r="E140" s="27" t="s">
        <v>951</v>
      </c>
      <c r="G140" s="12"/>
      <c r="I140" t="s">
        <v>154</v>
      </c>
      <c r="AQ140" s="3"/>
    </row>
    <row r="141" spans="5:43" x14ac:dyDescent="0.35">
      <c r="E141" s="27"/>
      <c r="F141" s="68" t="s">
        <v>247</v>
      </c>
      <c r="G141" s="68" t="s">
        <v>207</v>
      </c>
      <c r="H141" s="19"/>
      <c r="I141" s="19"/>
      <c r="J141" s="73"/>
      <c r="K141" s="73"/>
      <c r="L141" s="114">
        <f>'Inputs by customer type'!L106</f>
        <v>209.17822654181128</v>
      </c>
      <c r="M141" s="73"/>
      <c r="N141" s="114">
        <f>'Inputs by customer type'!N106</f>
        <v>372.17815978626317</v>
      </c>
      <c r="O141" s="114">
        <f>'Inputs by customer type'!O106</f>
        <v>0</v>
      </c>
      <c r="P141" s="114">
        <f>'Inputs by customer type'!P106</f>
        <v>0</v>
      </c>
      <c r="Q141" s="73"/>
      <c r="R141" s="73"/>
      <c r="S141" s="73"/>
      <c r="T141" s="73"/>
      <c r="U141" s="73"/>
      <c r="V141" s="73"/>
      <c r="W141" s="73"/>
      <c r="X141" s="73"/>
      <c r="Y141" s="73"/>
      <c r="AQ141" s="3"/>
    </row>
    <row r="142" spans="5:43" x14ac:dyDescent="0.35">
      <c r="E142" s="27"/>
      <c r="F142" s="62" t="s">
        <v>248</v>
      </c>
      <c r="G142" s="62" t="s">
        <v>207</v>
      </c>
      <c r="J142" s="316"/>
      <c r="K142" s="316"/>
      <c r="L142" s="318">
        <f>'Inputs by customer type'!L107</f>
        <v>1313.8205621045499</v>
      </c>
      <c r="M142" s="316"/>
      <c r="N142" s="318">
        <f>'Inputs by customer type'!N107</f>
        <v>2204.4119737285764</v>
      </c>
      <c r="O142" s="318">
        <f>'Inputs by customer type'!O107</f>
        <v>0</v>
      </c>
      <c r="P142" s="318">
        <f>'Inputs by customer type'!P107</f>
        <v>0</v>
      </c>
      <c r="Q142" s="316"/>
      <c r="R142" s="316"/>
      <c r="S142" s="316"/>
      <c r="T142" s="316"/>
      <c r="U142" s="316"/>
      <c r="V142" s="316"/>
      <c r="W142" s="316"/>
      <c r="X142" s="316"/>
      <c r="Y142" s="316"/>
      <c r="AQ142" s="3"/>
    </row>
    <row r="143" spans="5:43" x14ac:dyDescent="0.35">
      <c r="E143" s="27"/>
      <c r="F143" s="62" t="s">
        <v>249</v>
      </c>
      <c r="G143" s="62" t="s">
        <v>207</v>
      </c>
      <c r="J143" s="316"/>
      <c r="K143" s="316"/>
      <c r="L143" s="318">
        <f>'Inputs by customer type'!L108</f>
        <v>612.24157602113667</v>
      </c>
      <c r="M143" s="316"/>
      <c r="N143" s="318">
        <f>'Inputs by customer type'!N108</f>
        <v>1256.4972515038321</v>
      </c>
      <c r="O143" s="318">
        <f>'Inputs by customer type'!O108</f>
        <v>0</v>
      </c>
      <c r="P143" s="318">
        <f>'Inputs by customer type'!P108</f>
        <v>0</v>
      </c>
      <c r="Q143" s="316"/>
      <c r="R143" s="316"/>
      <c r="S143" s="316"/>
      <c r="T143" s="316"/>
      <c r="U143" s="316"/>
      <c r="V143" s="316"/>
      <c r="W143" s="316"/>
      <c r="X143" s="316"/>
      <c r="Y143" s="316"/>
      <c r="AQ143" s="3"/>
    </row>
    <row r="144" spans="5:43" x14ac:dyDescent="0.35">
      <c r="E144" s="27"/>
      <c r="F144" s="62" t="s">
        <v>212</v>
      </c>
      <c r="G144" s="62" t="s">
        <v>212</v>
      </c>
      <c r="J144" s="316"/>
      <c r="K144" s="316"/>
      <c r="L144" s="318">
        <f>'Inputs by customer type'!L109</f>
        <v>75.827915288827512</v>
      </c>
      <c r="M144" s="316"/>
      <c r="N144" s="318">
        <f>'Inputs by customer type'!N109</f>
        <v>32.483921503957795</v>
      </c>
      <c r="O144" s="318">
        <f>'Inputs by customer type'!O109</f>
        <v>0</v>
      </c>
      <c r="P144" s="318">
        <f>'Inputs by customer type'!P109</f>
        <v>0</v>
      </c>
      <c r="Q144" s="316"/>
      <c r="R144" s="316"/>
      <c r="S144" s="316"/>
      <c r="T144" s="316"/>
      <c r="U144" s="316"/>
      <c r="V144" s="316"/>
      <c r="W144" s="316"/>
      <c r="X144" s="316"/>
      <c r="Y144" s="316"/>
      <c r="AQ144" s="3"/>
    </row>
    <row r="145" spans="3:43" x14ac:dyDescent="0.35">
      <c r="E145" s="27"/>
      <c r="F145" s="62" t="s">
        <v>250</v>
      </c>
      <c r="G145" s="62" t="s">
        <v>251</v>
      </c>
      <c r="J145" s="316"/>
      <c r="K145" s="316"/>
      <c r="L145" s="318">
        <f>'Inputs by customer type'!L110</f>
        <v>0</v>
      </c>
      <c r="M145" s="316"/>
      <c r="N145" s="318">
        <f>'Inputs by customer type'!N110</f>
        <v>8205.519060271472</v>
      </c>
      <c r="O145" s="318">
        <f>'Inputs by customer type'!O110</f>
        <v>0</v>
      </c>
      <c r="P145" s="318">
        <f>'Inputs by customer type'!P110</f>
        <v>0</v>
      </c>
      <c r="Q145" s="316"/>
      <c r="R145" s="316"/>
      <c r="S145" s="316"/>
      <c r="T145" s="316"/>
      <c r="U145" s="316"/>
      <c r="V145" s="316"/>
      <c r="W145" s="316"/>
      <c r="X145" s="316"/>
      <c r="Y145" s="316"/>
      <c r="AQ145" s="3"/>
    </row>
    <row r="146" spans="3:43" x14ac:dyDescent="0.35">
      <c r="E146" s="27"/>
      <c r="F146" s="62" t="s">
        <v>252</v>
      </c>
      <c r="G146" s="62" t="s">
        <v>251</v>
      </c>
      <c r="J146" s="316"/>
      <c r="K146" s="316"/>
      <c r="L146" s="318">
        <f>'Inputs by customer type'!L111</f>
        <v>0</v>
      </c>
      <c r="M146" s="316"/>
      <c r="N146" s="318">
        <f>'Inputs by customer type'!N111</f>
        <v>17.795416874452567</v>
      </c>
      <c r="O146" s="318">
        <f>'Inputs by customer type'!O111</f>
        <v>0</v>
      </c>
      <c r="P146" s="318">
        <f>'Inputs by customer type'!P111</f>
        <v>0</v>
      </c>
      <c r="Q146" s="316"/>
      <c r="R146" s="316"/>
      <c r="S146" s="316"/>
      <c r="T146" s="316"/>
      <c r="U146" s="316"/>
      <c r="V146" s="316"/>
      <c r="W146" s="316"/>
      <c r="X146" s="316"/>
      <c r="Y146" s="316"/>
      <c r="AQ146" s="3"/>
    </row>
    <row r="147" spans="3:43" x14ac:dyDescent="0.35">
      <c r="E147" s="27"/>
      <c r="F147" s="70" t="s">
        <v>253</v>
      </c>
      <c r="G147" s="70" t="s">
        <v>254</v>
      </c>
      <c r="H147" s="28"/>
      <c r="I147" s="28"/>
      <c r="J147" s="71"/>
      <c r="K147" s="71"/>
      <c r="L147" s="115">
        <f>'Inputs by customer type'!L112</f>
        <v>0</v>
      </c>
      <c r="M147" s="71"/>
      <c r="N147" s="115">
        <f>'Inputs by customer type'!N112</f>
        <v>634.85939001781514</v>
      </c>
      <c r="O147" s="115">
        <f>'Inputs by customer type'!O112</f>
        <v>0</v>
      </c>
      <c r="P147" s="115">
        <f>'Inputs by customer type'!P112</f>
        <v>0</v>
      </c>
      <c r="Q147" s="71"/>
      <c r="R147" s="71"/>
      <c r="S147" s="71"/>
      <c r="T147" s="71"/>
      <c r="U147" s="71"/>
      <c r="V147" s="71"/>
      <c r="W147" s="71"/>
      <c r="X147" s="71"/>
      <c r="Y147" s="71"/>
      <c r="AQ147" s="3"/>
    </row>
    <row r="148" spans="3:43" x14ac:dyDescent="0.35">
      <c r="AQ148" s="3"/>
    </row>
    <row r="149" spans="3:43" x14ac:dyDescent="0.35">
      <c r="C149" s="24"/>
      <c r="D149" s="24" t="s">
        <v>961</v>
      </c>
      <c r="AQ149" s="3"/>
    </row>
    <row r="150" spans="3:43" x14ac:dyDescent="0.35">
      <c r="AQ150" s="3"/>
    </row>
    <row r="151" spans="3:43" x14ac:dyDescent="0.35">
      <c r="E151" s="27" t="s">
        <v>906</v>
      </c>
      <c r="G151" s="12"/>
      <c r="I151" t="s">
        <v>154</v>
      </c>
      <c r="AQ151" s="3"/>
    </row>
    <row r="152" spans="3:43" x14ac:dyDescent="0.35">
      <c r="E152" s="27"/>
      <c r="F152" s="68" t="s">
        <v>247</v>
      </c>
      <c r="G152" s="68" t="s">
        <v>207</v>
      </c>
      <c r="H152" s="19"/>
      <c r="I152" s="19"/>
      <c r="J152" s="73"/>
      <c r="K152" s="114">
        <f>'Inputs by customer type'!K117</f>
        <v>129.02316403377972</v>
      </c>
      <c r="L152" s="114">
        <f>'Inputs by customer type'!L117</f>
        <v>560.65757017340411</v>
      </c>
      <c r="M152" s="114">
        <f>'Inputs by customer type'!M117</f>
        <v>28.165165011299294</v>
      </c>
      <c r="N152" s="114">
        <f>'Inputs by customer type'!N117</f>
        <v>0</v>
      </c>
      <c r="O152" s="114">
        <f>'Inputs by customer type'!O117</f>
        <v>0</v>
      </c>
      <c r="P152" s="114">
        <f>'Inputs by customer type'!P117</f>
        <v>0</v>
      </c>
      <c r="Q152" s="73"/>
      <c r="R152" s="114">
        <f>'Inputs by customer type'!R117</f>
        <v>0.13300000000000001</v>
      </c>
      <c r="S152" s="114">
        <f>'Inputs by customer type'!S117</f>
        <v>15.433999999999999</v>
      </c>
      <c r="T152" s="114">
        <f>'Inputs by customer type'!T117</f>
        <v>1327.0888980075765</v>
      </c>
      <c r="U152" s="114">
        <f>'Inputs by customer type'!U117</f>
        <v>0</v>
      </c>
      <c r="V152" s="114">
        <f>'Inputs by customer type'!V117</f>
        <v>0</v>
      </c>
      <c r="W152" s="114">
        <f>'Inputs by customer type'!W117</f>
        <v>0</v>
      </c>
      <c r="X152" s="114">
        <f>'Inputs by customer type'!X117</f>
        <v>26.351155247183883</v>
      </c>
      <c r="Y152" s="114">
        <f>'Inputs by customer type'!Y117</f>
        <v>0</v>
      </c>
      <c r="AQ152" s="3"/>
    </row>
    <row r="153" spans="3:43" x14ac:dyDescent="0.35">
      <c r="E153" s="27"/>
      <c r="F153" s="62" t="s">
        <v>248</v>
      </c>
      <c r="G153" s="62" t="s">
        <v>207</v>
      </c>
      <c r="J153" s="316"/>
      <c r="K153" s="318">
        <f>'Inputs by customer type'!K118</f>
        <v>623.84978064236452</v>
      </c>
      <c r="L153" s="318">
        <f>'Inputs by customer type'!L118</f>
        <v>3535.13682889043</v>
      </c>
      <c r="M153" s="318">
        <f>'Inputs by customer type'!M118</f>
        <v>171.31576560045573</v>
      </c>
      <c r="N153" s="318">
        <f>'Inputs by customer type'!N118</f>
        <v>0</v>
      </c>
      <c r="O153" s="318">
        <f>'Inputs by customer type'!O118</f>
        <v>0</v>
      </c>
      <c r="P153" s="318">
        <f>'Inputs by customer type'!P118</f>
        <v>0</v>
      </c>
      <c r="Q153" s="316"/>
      <c r="R153" s="318">
        <f>'Inputs by customer type'!R118</f>
        <v>7.3179999999999996</v>
      </c>
      <c r="S153" s="318">
        <f>'Inputs by customer type'!S118</f>
        <v>1.6240000000000001</v>
      </c>
      <c r="T153" s="318">
        <f>'Inputs by customer type'!T118</f>
        <v>5782.7279852995352</v>
      </c>
      <c r="U153" s="318">
        <f>'Inputs by customer type'!U118</f>
        <v>0</v>
      </c>
      <c r="V153" s="318">
        <f>'Inputs by customer type'!V118</f>
        <v>0</v>
      </c>
      <c r="W153" s="318">
        <f>'Inputs by customer type'!W118</f>
        <v>0</v>
      </c>
      <c r="X153" s="318">
        <f>'Inputs by customer type'!X118</f>
        <v>165.84055989272863</v>
      </c>
      <c r="Y153" s="318">
        <f>'Inputs by customer type'!Y118</f>
        <v>0</v>
      </c>
      <c r="AQ153" s="3"/>
    </row>
    <row r="154" spans="3:43" x14ac:dyDescent="0.35">
      <c r="E154" s="27"/>
      <c r="F154" s="62" t="s">
        <v>249</v>
      </c>
      <c r="G154" s="62" t="s">
        <v>207</v>
      </c>
      <c r="J154" s="316"/>
      <c r="K154" s="318">
        <f>'Inputs by customer type'!K119</f>
        <v>584.25146271471135</v>
      </c>
      <c r="L154" s="318">
        <f>'Inputs by customer type'!L119</f>
        <v>1578.2983614029965</v>
      </c>
      <c r="M154" s="318">
        <f>'Inputs by customer type'!M119</f>
        <v>85.551810528986309</v>
      </c>
      <c r="N154" s="318">
        <f>'Inputs by customer type'!N119</f>
        <v>0</v>
      </c>
      <c r="O154" s="318">
        <f>'Inputs by customer type'!O119</f>
        <v>0</v>
      </c>
      <c r="P154" s="318">
        <f>'Inputs by customer type'!P119</f>
        <v>0</v>
      </c>
      <c r="Q154" s="316"/>
      <c r="R154" s="318">
        <f>'Inputs by customer type'!R119</f>
        <v>0.28999999999999998</v>
      </c>
      <c r="S154" s="318">
        <f>'Inputs by customer type'!S119</f>
        <v>0</v>
      </c>
      <c r="T154" s="318">
        <f>'Inputs by customer type'!T119</f>
        <v>2767.2356585674361</v>
      </c>
      <c r="U154" s="318">
        <f>'Inputs by customer type'!U119</f>
        <v>0</v>
      </c>
      <c r="V154" s="318">
        <f>'Inputs by customer type'!V119</f>
        <v>0</v>
      </c>
      <c r="W154" s="318">
        <f>'Inputs by customer type'!W119</f>
        <v>0</v>
      </c>
      <c r="X154" s="318">
        <f>'Inputs by customer type'!X119</f>
        <v>72.935642648769161</v>
      </c>
      <c r="Y154" s="318">
        <f>'Inputs by customer type'!Y119</f>
        <v>0</v>
      </c>
      <c r="AQ154" s="3"/>
    </row>
    <row r="155" spans="3:43" x14ac:dyDescent="0.35">
      <c r="E155" s="27"/>
      <c r="F155" s="62" t="s">
        <v>212</v>
      </c>
      <c r="G155" s="62" t="s">
        <v>212</v>
      </c>
      <c r="J155" s="316"/>
      <c r="K155" s="318">
        <f>'Inputs by customer type'!K120</f>
        <v>533.5</v>
      </c>
      <c r="L155" s="318">
        <f>'Inputs by customer type'!L120</f>
        <v>0</v>
      </c>
      <c r="M155" s="318">
        <f>'Inputs by customer type'!M120</f>
        <v>0</v>
      </c>
      <c r="N155" s="318">
        <f>'Inputs by customer type'!N120</f>
        <v>0</v>
      </c>
      <c r="O155" s="318">
        <f>'Inputs by customer type'!O120</f>
        <v>0</v>
      </c>
      <c r="P155" s="318">
        <f>'Inputs by customer type'!P120</f>
        <v>0</v>
      </c>
      <c r="Q155" s="316"/>
      <c r="R155" s="318">
        <f>'Inputs by customer type'!R120</f>
        <v>1</v>
      </c>
      <c r="S155" s="318">
        <f>'Inputs by customer type'!S120</f>
        <v>1</v>
      </c>
      <c r="T155" s="318">
        <f>'Inputs by customer type'!T120</f>
        <v>0</v>
      </c>
      <c r="U155" s="318">
        <f>'Inputs by customer type'!U120</f>
        <v>0</v>
      </c>
      <c r="V155" s="318">
        <f>'Inputs by customer type'!V120</f>
        <v>0</v>
      </c>
      <c r="W155" s="318">
        <f>'Inputs by customer type'!W120</f>
        <v>0</v>
      </c>
      <c r="X155" s="318">
        <f>'Inputs by customer type'!X120</f>
        <v>0</v>
      </c>
      <c r="Y155" s="318">
        <f>'Inputs by customer type'!Y120</f>
        <v>0</v>
      </c>
      <c r="AQ155" s="3"/>
    </row>
    <row r="156" spans="3:43" x14ac:dyDescent="0.35">
      <c r="E156" s="27"/>
      <c r="F156" s="62" t="s">
        <v>250</v>
      </c>
      <c r="G156" s="62" t="s">
        <v>251</v>
      </c>
      <c r="J156" s="316"/>
      <c r="K156" s="318">
        <f>'Inputs by customer type'!K121</f>
        <v>0</v>
      </c>
      <c r="L156" s="318">
        <f>'Inputs by customer type'!L121</f>
        <v>0</v>
      </c>
      <c r="M156" s="318">
        <f>'Inputs by customer type'!M121</f>
        <v>0</v>
      </c>
      <c r="N156" s="318">
        <f>'Inputs by customer type'!N121</f>
        <v>0</v>
      </c>
      <c r="O156" s="318">
        <f>'Inputs by customer type'!O121</f>
        <v>0</v>
      </c>
      <c r="P156" s="318">
        <f>'Inputs by customer type'!P121</f>
        <v>20.717105552650363</v>
      </c>
      <c r="Q156" s="316"/>
      <c r="R156" s="318">
        <f>'Inputs by customer type'!R121</f>
        <v>0</v>
      </c>
      <c r="S156" s="318">
        <f>'Inputs by customer type'!S121</f>
        <v>0</v>
      </c>
      <c r="T156" s="318">
        <f>'Inputs by customer type'!T121</f>
        <v>0</v>
      </c>
      <c r="U156" s="318">
        <f>'Inputs by customer type'!U121</f>
        <v>0</v>
      </c>
      <c r="V156" s="318">
        <f>'Inputs by customer type'!V121</f>
        <v>0</v>
      </c>
      <c r="W156" s="318">
        <f>'Inputs by customer type'!W121</f>
        <v>0</v>
      </c>
      <c r="X156" s="318">
        <f>'Inputs by customer type'!X121</f>
        <v>0</v>
      </c>
      <c r="Y156" s="318">
        <f>'Inputs by customer type'!Y121</f>
        <v>0</v>
      </c>
      <c r="AQ156" s="3"/>
    </row>
    <row r="157" spans="3:43" x14ac:dyDescent="0.35">
      <c r="E157" s="27"/>
      <c r="F157" s="62" t="s">
        <v>252</v>
      </c>
      <c r="G157" s="62" t="s">
        <v>251</v>
      </c>
      <c r="J157" s="316"/>
      <c r="K157" s="318">
        <f>'Inputs by customer type'!K122</f>
        <v>0</v>
      </c>
      <c r="L157" s="318">
        <f>'Inputs by customer type'!L122</f>
        <v>0</v>
      </c>
      <c r="M157" s="318">
        <f>'Inputs by customer type'!M122</f>
        <v>0</v>
      </c>
      <c r="N157" s="318">
        <f>'Inputs by customer type'!N122</f>
        <v>0</v>
      </c>
      <c r="O157" s="318">
        <f>'Inputs by customer type'!O122</f>
        <v>0</v>
      </c>
      <c r="P157" s="318">
        <f>'Inputs by customer type'!P122</f>
        <v>0.47397580309993154</v>
      </c>
      <c r="Q157" s="316"/>
      <c r="R157" s="318">
        <f>'Inputs by customer type'!R122</f>
        <v>0</v>
      </c>
      <c r="S157" s="318">
        <f>'Inputs by customer type'!S122</f>
        <v>0</v>
      </c>
      <c r="T157" s="318">
        <f>'Inputs by customer type'!T122</f>
        <v>0</v>
      </c>
      <c r="U157" s="318">
        <f>'Inputs by customer type'!U122</f>
        <v>0</v>
      </c>
      <c r="V157" s="318">
        <f>'Inputs by customer type'!V122</f>
        <v>0</v>
      </c>
      <c r="W157" s="318">
        <f>'Inputs by customer type'!W122</f>
        <v>0</v>
      </c>
      <c r="X157" s="318">
        <f>'Inputs by customer type'!X122</f>
        <v>0</v>
      </c>
      <c r="Y157" s="318">
        <f>'Inputs by customer type'!Y122</f>
        <v>0</v>
      </c>
      <c r="AQ157" s="3"/>
    </row>
    <row r="158" spans="3:43" x14ac:dyDescent="0.35">
      <c r="E158" s="27"/>
      <c r="F158" s="70" t="s">
        <v>253</v>
      </c>
      <c r="G158" s="70" t="s">
        <v>254</v>
      </c>
      <c r="H158" s="28"/>
      <c r="I158" s="28"/>
      <c r="J158" s="71"/>
      <c r="K158" s="115">
        <f>'Inputs by customer type'!K123</f>
        <v>0</v>
      </c>
      <c r="L158" s="115">
        <f>'Inputs by customer type'!L123</f>
        <v>0</v>
      </c>
      <c r="M158" s="115">
        <f>'Inputs by customer type'!M123</f>
        <v>0</v>
      </c>
      <c r="N158" s="115">
        <f>'Inputs by customer type'!N123</f>
        <v>0</v>
      </c>
      <c r="O158" s="115">
        <f>'Inputs by customer type'!O123</f>
        <v>0</v>
      </c>
      <c r="P158" s="115">
        <f>'Inputs by customer type'!P123</f>
        <v>0</v>
      </c>
      <c r="Q158" s="71"/>
      <c r="R158" s="115">
        <f>'Inputs by customer type'!R123</f>
        <v>0</v>
      </c>
      <c r="S158" s="115">
        <f>'Inputs by customer type'!S123</f>
        <v>0</v>
      </c>
      <c r="T158" s="115">
        <f>'Inputs by customer type'!T123</f>
        <v>0</v>
      </c>
      <c r="U158" s="115">
        <f>'Inputs by customer type'!U123</f>
        <v>0</v>
      </c>
      <c r="V158" s="115">
        <f>'Inputs by customer type'!V123</f>
        <v>0</v>
      </c>
      <c r="W158" s="115">
        <f>'Inputs by customer type'!W123</f>
        <v>0</v>
      </c>
      <c r="X158" s="115">
        <f>'Inputs by customer type'!X123</f>
        <v>0</v>
      </c>
      <c r="Y158" s="115">
        <f>'Inputs by customer type'!Y123</f>
        <v>0</v>
      </c>
      <c r="AQ158" s="3"/>
    </row>
    <row r="159" spans="3:43" x14ac:dyDescent="0.35">
      <c r="AQ159" s="3"/>
    </row>
    <row r="160" spans="3:43" x14ac:dyDescent="0.35">
      <c r="E160" s="27" t="s">
        <v>952</v>
      </c>
      <c r="G160" s="12"/>
      <c r="I160" t="s">
        <v>154</v>
      </c>
      <c r="AQ160" s="3"/>
    </row>
    <row r="161" spans="5:43" x14ac:dyDescent="0.35">
      <c r="E161" s="27"/>
      <c r="F161" s="68" t="s">
        <v>247</v>
      </c>
      <c r="G161" s="68" t="s">
        <v>207</v>
      </c>
      <c r="H161" s="19"/>
      <c r="I161" s="19"/>
      <c r="J161" s="114">
        <f>'Inputs by customer type'!J126</f>
        <v>25936.063443617171</v>
      </c>
      <c r="K161" s="73"/>
      <c r="L161" s="114">
        <f>'Inputs by customer type'!L126</f>
        <v>323.96872396016852</v>
      </c>
      <c r="M161" s="73"/>
      <c r="N161" s="114">
        <f>'Inputs by customer type'!N126</f>
        <v>2008.6163210234347</v>
      </c>
      <c r="O161" s="114">
        <f>'Inputs by customer type'!O126</f>
        <v>1139.0228522073685</v>
      </c>
      <c r="P161" s="114">
        <f>'Inputs by customer type'!P126</f>
        <v>430.548447011615</v>
      </c>
      <c r="Q161" s="114">
        <f>'Inputs by customer type'!Q126</f>
        <v>125.108</v>
      </c>
      <c r="R161" s="73"/>
      <c r="S161" s="73"/>
      <c r="T161" s="73"/>
      <c r="U161" s="73"/>
      <c r="V161" s="73"/>
      <c r="W161" s="73"/>
      <c r="X161" s="73"/>
      <c r="Y161" s="73"/>
      <c r="AQ161" s="3"/>
    </row>
    <row r="162" spans="5:43" x14ac:dyDescent="0.35">
      <c r="E162" s="27"/>
      <c r="F162" s="62" t="s">
        <v>248</v>
      </c>
      <c r="G162" s="62" t="s">
        <v>207</v>
      </c>
      <c r="J162" s="318">
        <f>'Inputs by customer type'!J127</f>
        <v>113627.71327885594</v>
      </c>
      <c r="K162" s="316"/>
      <c r="L162" s="318">
        <f>'Inputs by customer type'!L127</f>
        <v>2042.7330841640305</v>
      </c>
      <c r="M162" s="316"/>
      <c r="N162" s="318">
        <f>'Inputs by customer type'!N127</f>
        <v>10857.101309435961</v>
      </c>
      <c r="O162" s="318">
        <f>'Inputs by customer type'!O127</f>
        <v>6416.7182911428245</v>
      </c>
      <c r="P162" s="318">
        <f>'Inputs by customer type'!P127</f>
        <v>2489.3693714466945</v>
      </c>
      <c r="Q162" s="318">
        <f>'Inputs by customer type'!Q127</f>
        <v>779.30099999999982</v>
      </c>
      <c r="R162" s="316"/>
      <c r="S162" s="316"/>
      <c r="T162" s="316"/>
      <c r="U162" s="316"/>
      <c r="V162" s="316"/>
      <c r="W162" s="316"/>
      <c r="X162" s="316"/>
      <c r="Y162" s="316"/>
      <c r="AQ162" s="3"/>
    </row>
    <row r="163" spans="5:43" x14ac:dyDescent="0.35">
      <c r="E163" s="27"/>
      <c r="F163" s="62" t="s">
        <v>249</v>
      </c>
      <c r="G163" s="62" t="s">
        <v>207</v>
      </c>
      <c r="J163" s="318">
        <f>'Inputs by customer type'!J128</f>
        <v>55546.777639504362</v>
      </c>
      <c r="K163" s="316"/>
      <c r="L163" s="318">
        <f>'Inputs by customer type'!L128</f>
        <v>911.99929042964527</v>
      </c>
      <c r="M163" s="316"/>
      <c r="N163" s="318">
        <f>'Inputs by customer type'!N128</f>
        <v>6116.8697877032973</v>
      </c>
      <c r="O163" s="318">
        <f>'Inputs by customer type'!O128</f>
        <v>3318.7093916347462</v>
      </c>
      <c r="P163" s="318">
        <f>'Inputs by customer type'!P128</f>
        <v>1657.8847626627041</v>
      </c>
      <c r="Q163" s="318">
        <f>'Inputs by customer type'!Q128</f>
        <v>406.67899999999997</v>
      </c>
      <c r="R163" s="316"/>
      <c r="S163" s="316"/>
      <c r="T163" s="316"/>
      <c r="U163" s="316"/>
      <c r="V163" s="316"/>
      <c r="W163" s="316"/>
      <c r="X163" s="316"/>
      <c r="Y163" s="316"/>
      <c r="AQ163" s="3"/>
    </row>
    <row r="164" spans="5:43" x14ac:dyDescent="0.35">
      <c r="E164" s="27"/>
      <c r="F164" s="62" t="s">
        <v>212</v>
      </c>
      <c r="G164" s="62" t="s">
        <v>212</v>
      </c>
      <c r="J164" s="318">
        <f>'Inputs by customer type'!J129</f>
        <v>128781.76565790082</v>
      </c>
      <c r="K164" s="316"/>
      <c r="L164" s="318">
        <f>'Inputs by customer type'!L129</f>
        <v>1478.6028145081389</v>
      </c>
      <c r="M164" s="316"/>
      <c r="N164" s="318">
        <f>'Inputs by customer type'!N129</f>
        <v>160.50739720917898</v>
      </c>
      <c r="O164" s="318">
        <f>'Inputs by customer type'!O129</f>
        <v>24.77710843373492</v>
      </c>
      <c r="P164" s="318">
        <f>'Inputs by customer type'!P129</f>
        <v>6</v>
      </c>
      <c r="Q164" s="318">
        <f>'Inputs by customer type'!Q129</f>
        <v>266.64516129032251</v>
      </c>
      <c r="R164" s="316"/>
      <c r="S164" s="316"/>
      <c r="T164" s="316"/>
      <c r="U164" s="316"/>
      <c r="V164" s="316"/>
      <c r="W164" s="316"/>
      <c r="X164" s="316"/>
      <c r="Y164" s="316"/>
      <c r="AQ164" s="3"/>
    </row>
    <row r="165" spans="5:43" x14ac:dyDescent="0.35">
      <c r="E165" s="27"/>
      <c r="F165" s="62" t="s">
        <v>250</v>
      </c>
      <c r="G165" s="62" t="s">
        <v>251</v>
      </c>
      <c r="J165" s="318">
        <f>'Inputs by customer type'!J130</f>
        <v>0</v>
      </c>
      <c r="K165" s="316"/>
      <c r="L165" s="318">
        <f>'Inputs by customer type'!L130</f>
        <v>0</v>
      </c>
      <c r="M165" s="316"/>
      <c r="N165" s="318">
        <f>'Inputs by customer type'!N130</f>
        <v>25508.492416213801</v>
      </c>
      <c r="O165" s="318">
        <f>'Inputs by customer type'!O130</f>
        <v>138.65302444102156</v>
      </c>
      <c r="P165" s="318">
        <f>'Inputs by customer type'!P130</f>
        <v>1275.6485452551874</v>
      </c>
      <c r="Q165" s="318">
        <f>'Inputs by customer type'!Q130</f>
        <v>0</v>
      </c>
      <c r="R165" s="316"/>
      <c r="S165" s="316"/>
      <c r="T165" s="316"/>
      <c r="U165" s="316"/>
      <c r="V165" s="316"/>
      <c r="W165" s="316"/>
      <c r="X165" s="316"/>
      <c r="Y165" s="316"/>
      <c r="AQ165" s="3"/>
    </row>
    <row r="166" spans="5:43" x14ac:dyDescent="0.35">
      <c r="E166" s="27"/>
      <c r="F166" s="62" t="s">
        <v>252</v>
      </c>
      <c r="G166" s="62" t="s">
        <v>251</v>
      </c>
      <c r="J166" s="318">
        <f>'Inputs by customer type'!J131</f>
        <v>0</v>
      </c>
      <c r="K166" s="316"/>
      <c r="L166" s="318">
        <f>'Inputs by customer type'!L131</f>
        <v>0</v>
      </c>
      <c r="M166" s="316"/>
      <c r="N166" s="318">
        <f>'Inputs by customer type'!N131</f>
        <v>44.142137349103145</v>
      </c>
      <c r="O166" s="318">
        <f>'Inputs by customer type'!O131</f>
        <v>0</v>
      </c>
      <c r="P166" s="318">
        <f>'Inputs by customer type'!P131</f>
        <v>29.184894683960149</v>
      </c>
      <c r="Q166" s="318">
        <f>'Inputs by customer type'!Q131</f>
        <v>0</v>
      </c>
      <c r="R166" s="316"/>
      <c r="S166" s="316"/>
      <c r="T166" s="316"/>
      <c r="U166" s="316"/>
      <c r="V166" s="316"/>
      <c r="W166" s="316"/>
      <c r="X166" s="316"/>
      <c r="Y166" s="316"/>
      <c r="AQ166" s="3"/>
    </row>
    <row r="167" spans="5:43" x14ac:dyDescent="0.35">
      <c r="E167" s="27"/>
      <c r="F167" s="70" t="s">
        <v>253</v>
      </c>
      <c r="G167" s="70" t="s">
        <v>254</v>
      </c>
      <c r="H167" s="28"/>
      <c r="I167" s="28"/>
      <c r="J167" s="115">
        <f>'Inputs by customer type'!J132</f>
        <v>0</v>
      </c>
      <c r="K167" s="71"/>
      <c r="L167" s="115">
        <f>'Inputs by customer type'!L132</f>
        <v>0</v>
      </c>
      <c r="M167" s="71"/>
      <c r="N167" s="115">
        <f>'Inputs by customer type'!N132</f>
        <v>2035.2073343001964</v>
      </c>
      <c r="O167" s="115">
        <f>'Inputs by customer type'!O132</f>
        <v>1570.8731092170815</v>
      </c>
      <c r="P167" s="115">
        <f>'Inputs by customer type'!P132</f>
        <v>85.790146563597943</v>
      </c>
      <c r="Q167" s="115">
        <f>'Inputs by customer type'!Q132</f>
        <v>0</v>
      </c>
      <c r="R167" s="71"/>
      <c r="S167" s="71"/>
      <c r="T167" s="71"/>
      <c r="U167" s="71"/>
      <c r="V167" s="71"/>
      <c r="W167" s="71"/>
      <c r="X167" s="71"/>
      <c r="Y167" s="71"/>
      <c r="AQ167" s="3"/>
    </row>
    <row r="168" spans="5:43" x14ac:dyDescent="0.35">
      <c r="AQ168" s="3"/>
    </row>
    <row r="169" spans="5:43" x14ac:dyDescent="0.35">
      <c r="E169" s="27" t="s">
        <v>953</v>
      </c>
      <c r="G169" s="12"/>
      <c r="I169" t="s">
        <v>154</v>
      </c>
      <c r="AQ169" s="3"/>
    </row>
    <row r="170" spans="5:43" x14ac:dyDescent="0.35">
      <c r="E170" s="27"/>
      <c r="F170" s="68" t="s">
        <v>247</v>
      </c>
      <c r="G170" s="68" t="s">
        <v>207</v>
      </c>
      <c r="H170" s="19"/>
      <c r="I170" s="19"/>
      <c r="J170" s="73"/>
      <c r="K170" s="73"/>
      <c r="L170" s="114">
        <f>'Inputs by customer type'!L135</f>
        <v>718.45912061290528</v>
      </c>
      <c r="M170" s="73"/>
      <c r="N170" s="114">
        <f>'Inputs by customer type'!N135</f>
        <v>2585.6824116106486</v>
      </c>
      <c r="O170" s="114">
        <f>'Inputs by customer type'!O135</f>
        <v>8.043368109058223</v>
      </c>
      <c r="P170" s="114">
        <f>'Inputs by customer type'!P135</f>
        <v>815.44886893662465</v>
      </c>
      <c r="Q170" s="73"/>
      <c r="R170" s="73"/>
      <c r="S170" s="73"/>
      <c r="T170" s="73"/>
      <c r="U170" s="73"/>
      <c r="V170" s="73"/>
      <c r="W170" s="73"/>
      <c r="X170" s="73"/>
      <c r="Y170" s="73"/>
      <c r="AQ170" s="3"/>
    </row>
    <row r="171" spans="5:43" x14ac:dyDescent="0.35">
      <c r="E171" s="27"/>
      <c r="F171" s="62" t="s">
        <v>248</v>
      </c>
      <c r="G171" s="62" t="s">
        <v>207</v>
      </c>
      <c r="J171" s="316"/>
      <c r="K171" s="316"/>
      <c r="L171" s="318">
        <f>'Inputs by customer type'!L136</f>
        <v>4530.1293203717378</v>
      </c>
      <c r="M171" s="316"/>
      <c r="N171" s="318">
        <f>'Inputs by customer type'!N136</f>
        <v>13976.29582267841</v>
      </c>
      <c r="O171" s="318">
        <f>'Inputs by customer type'!O136</f>
        <v>45.31254765237351</v>
      </c>
      <c r="P171" s="318">
        <f>'Inputs by customer type'!P136</f>
        <v>4714.8084086735098</v>
      </c>
      <c r="Q171" s="316"/>
      <c r="R171" s="316"/>
      <c r="S171" s="316"/>
      <c r="T171" s="316"/>
      <c r="U171" s="316"/>
      <c r="V171" s="316"/>
      <c r="W171" s="316"/>
      <c r="X171" s="316"/>
      <c r="Y171" s="316"/>
      <c r="AQ171" s="3"/>
    </row>
    <row r="172" spans="5:43" x14ac:dyDescent="0.35">
      <c r="E172" s="27"/>
      <c r="F172" s="62" t="s">
        <v>249</v>
      </c>
      <c r="G172" s="62" t="s">
        <v>207</v>
      </c>
      <c r="J172" s="316"/>
      <c r="K172" s="316"/>
      <c r="L172" s="318">
        <f>'Inputs by customer type'!L137</f>
        <v>2022.5230392370736</v>
      </c>
      <c r="M172" s="316"/>
      <c r="N172" s="318">
        <f>'Inputs by customer type'!N137</f>
        <v>7874.2179173961067</v>
      </c>
      <c r="O172" s="318">
        <f>'Inputs by customer type'!O137</f>
        <v>23.43552741911726</v>
      </c>
      <c r="P172" s="318">
        <f>'Inputs by customer type'!P137</f>
        <v>3139.9956588488067</v>
      </c>
      <c r="Q172" s="316"/>
      <c r="R172" s="316"/>
      <c r="S172" s="316"/>
      <c r="T172" s="316"/>
      <c r="U172" s="316"/>
      <c r="V172" s="316"/>
      <c r="W172" s="316"/>
      <c r="X172" s="316"/>
      <c r="Y172" s="316"/>
      <c r="AQ172" s="3"/>
    </row>
    <row r="173" spans="5:43" x14ac:dyDescent="0.35">
      <c r="E173" s="27"/>
      <c r="F173" s="62" t="s">
        <v>212</v>
      </c>
      <c r="G173" s="62" t="s">
        <v>212</v>
      </c>
      <c r="J173" s="316"/>
      <c r="K173" s="316"/>
      <c r="L173" s="318">
        <f>'Inputs by customer type'!L138</f>
        <v>562.97530003298323</v>
      </c>
      <c r="M173" s="316"/>
      <c r="N173" s="318">
        <f>'Inputs by customer type'!N138</f>
        <v>313.06218249675658</v>
      </c>
      <c r="O173" s="318">
        <f>'Inputs by customer type'!O138</f>
        <v>1.5485692771084325</v>
      </c>
      <c r="P173" s="318">
        <f>'Inputs by customer type'!P138</f>
        <v>6</v>
      </c>
      <c r="Q173" s="316"/>
      <c r="R173" s="316"/>
      <c r="S173" s="316"/>
      <c r="T173" s="316"/>
      <c r="U173" s="316"/>
      <c r="V173" s="316"/>
      <c r="W173" s="316"/>
      <c r="X173" s="316"/>
      <c r="Y173" s="316"/>
      <c r="AQ173" s="3"/>
    </row>
    <row r="174" spans="5:43" x14ac:dyDescent="0.35">
      <c r="E174" s="27"/>
      <c r="F174" s="62" t="s">
        <v>250</v>
      </c>
      <c r="G174" s="62" t="s">
        <v>251</v>
      </c>
      <c r="J174" s="316"/>
      <c r="K174" s="316"/>
      <c r="L174" s="318">
        <f>'Inputs by customer type'!L139</f>
        <v>0</v>
      </c>
      <c r="M174" s="316"/>
      <c r="N174" s="318">
        <f>'Inputs by customer type'!N139</f>
        <v>32836.96318553319</v>
      </c>
      <c r="O174" s="318">
        <f>'Inputs by customer type'!O139</f>
        <v>1808.4433042380647</v>
      </c>
      <c r="P174" s="318">
        <f>'Inputs by customer type'!P139</f>
        <v>4802.3736080679346</v>
      </c>
      <c r="Q174" s="316"/>
      <c r="R174" s="316"/>
      <c r="S174" s="316"/>
      <c r="T174" s="316"/>
      <c r="U174" s="316"/>
      <c r="V174" s="316"/>
      <c r="W174" s="316"/>
      <c r="X174" s="316"/>
      <c r="Y174" s="316"/>
      <c r="AQ174" s="3"/>
    </row>
    <row r="175" spans="5:43" x14ac:dyDescent="0.35">
      <c r="E175" s="27"/>
      <c r="F175" s="62" t="s">
        <v>252</v>
      </c>
      <c r="G175" s="62" t="s">
        <v>251</v>
      </c>
      <c r="J175" s="316"/>
      <c r="K175" s="316"/>
      <c r="L175" s="318">
        <f>'Inputs by customer type'!L140</f>
        <v>0</v>
      </c>
      <c r="M175" s="316"/>
      <c r="N175" s="318">
        <f>'Inputs by customer type'!N140</f>
        <v>56.823967305175486</v>
      </c>
      <c r="O175" s="318">
        <f>'Inputs by customer type'!O140</f>
        <v>0</v>
      </c>
      <c r="P175" s="318">
        <f>'Inputs by customer type'!P140</f>
        <v>109.87098954944105</v>
      </c>
      <c r="Q175" s="316"/>
      <c r="R175" s="316"/>
      <c r="S175" s="316"/>
      <c r="T175" s="316"/>
      <c r="U175" s="316"/>
      <c r="V175" s="316"/>
      <c r="W175" s="316"/>
      <c r="X175" s="316"/>
      <c r="Y175" s="316"/>
      <c r="AQ175" s="3"/>
    </row>
    <row r="176" spans="5:43" x14ac:dyDescent="0.35">
      <c r="E176" s="27"/>
      <c r="F176" s="70" t="s">
        <v>253</v>
      </c>
      <c r="G176" s="70" t="s">
        <v>254</v>
      </c>
      <c r="H176" s="28"/>
      <c r="I176" s="28"/>
      <c r="J176" s="71"/>
      <c r="K176" s="71"/>
      <c r="L176" s="115">
        <f>'Inputs by customer type'!L141</f>
        <v>0</v>
      </c>
      <c r="M176" s="71"/>
      <c r="N176" s="115">
        <f>'Inputs by customer type'!N141</f>
        <v>2619.9128988455604</v>
      </c>
      <c r="O176" s="115">
        <f>'Inputs by customer type'!O141</f>
        <v>11.092938693519278</v>
      </c>
      <c r="P176" s="115">
        <f>'Inputs by customer type'!P141</f>
        <v>162.48456699068279</v>
      </c>
      <c r="Q176" s="71"/>
      <c r="R176" s="71"/>
      <c r="S176" s="71"/>
      <c r="T176" s="71"/>
      <c r="U176" s="71"/>
      <c r="V176" s="71"/>
      <c r="W176" s="71"/>
      <c r="X176" s="71"/>
      <c r="Y176" s="71"/>
      <c r="AQ176" s="3"/>
    </row>
    <row r="177" spans="5:43" x14ac:dyDescent="0.35">
      <c r="AQ177" s="3"/>
    </row>
    <row r="178" spans="5:43" x14ac:dyDescent="0.35">
      <c r="E178" s="27" t="s">
        <v>954</v>
      </c>
      <c r="G178" s="12"/>
      <c r="I178" t="s">
        <v>154</v>
      </c>
      <c r="AQ178" s="3"/>
    </row>
    <row r="179" spans="5:43" x14ac:dyDescent="0.35">
      <c r="E179" s="27"/>
      <c r="F179" s="68" t="s">
        <v>247</v>
      </c>
      <c r="G179" s="68" t="s">
        <v>207</v>
      </c>
      <c r="H179" s="19"/>
      <c r="I179" s="19"/>
      <c r="J179" s="73"/>
      <c r="K179" s="73"/>
      <c r="L179" s="114">
        <f>'Inputs by customer type'!L144</f>
        <v>529.47449865049282</v>
      </c>
      <c r="M179" s="73"/>
      <c r="N179" s="114">
        <f>'Inputs by customer type'!N144</f>
        <v>1967.5721169921585</v>
      </c>
      <c r="O179" s="114">
        <f>'Inputs by customer type'!O144</f>
        <v>40.684877660328141</v>
      </c>
      <c r="P179" s="114">
        <f>'Inputs by customer type'!P144</f>
        <v>118.11791172995964</v>
      </c>
      <c r="Q179" s="73"/>
      <c r="R179" s="73"/>
      <c r="S179" s="73"/>
      <c r="T179" s="73"/>
      <c r="U179" s="73"/>
      <c r="V179" s="73"/>
      <c r="W179" s="73"/>
      <c r="X179" s="73"/>
      <c r="Y179" s="73"/>
      <c r="AQ179" s="3"/>
    </row>
    <row r="180" spans="5:43" x14ac:dyDescent="0.35">
      <c r="E180" s="27"/>
      <c r="F180" s="62" t="s">
        <v>248</v>
      </c>
      <c r="G180" s="62" t="s">
        <v>207</v>
      </c>
      <c r="J180" s="316"/>
      <c r="K180" s="316"/>
      <c r="L180" s="318">
        <f>'Inputs by customer type'!L145</f>
        <v>3338.5169481591784</v>
      </c>
      <c r="M180" s="316"/>
      <c r="N180" s="318">
        <f>'Inputs by customer type'!N145</f>
        <v>10635.246554663447</v>
      </c>
      <c r="O180" s="318">
        <f>'Inputs by customer type'!O145</f>
        <v>229.19943893136829</v>
      </c>
      <c r="P180" s="318">
        <f>'Inputs by customer type'!P145</f>
        <v>682.94082517471816</v>
      </c>
      <c r="Q180" s="316"/>
      <c r="R180" s="316"/>
      <c r="S180" s="316"/>
      <c r="T180" s="316"/>
      <c r="U180" s="316"/>
      <c r="V180" s="316"/>
      <c r="W180" s="316"/>
      <c r="X180" s="316"/>
      <c r="Y180" s="316"/>
      <c r="AQ180" s="3"/>
    </row>
    <row r="181" spans="5:43" x14ac:dyDescent="0.35">
      <c r="E181" s="27"/>
      <c r="F181" s="62" t="s">
        <v>249</v>
      </c>
      <c r="G181" s="62" t="s">
        <v>207</v>
      </c>
      <c r="J181" s="316"/>
      <c r="K181" s="316"/>
      <c r="L181" s="318">
        <f>'Inputs by customer type'!L146</f>
        <v>1490.5153842233581</v>
      </c>
      <c r="M181" s="316"/>
      <c r="N181" s="318">
        <f>'Inputs by customer type'!N146</f>
        <v>5991.8772498196458</v>
      </c>
      <c r="O181" s="318">
        <f>'Inputs by customer type'!O146</f>
        <v>118.54133156957938</v>
      </c>
      <c r="P181" s="318">
        <f>'Inputs by customer type'!P146</f>
        <v>454.82892207332833</v>
      </c>
      <c r="Q181" s="316"/>
      <c r="R181" s="316"/>
      <c r="S181" s="316"/>
      <c r="T181" s="316"/>
      <c r="U181" s="316"/>
      <c r="V181" s="316"/>
      <c r="W181" s="316"/>
      <c r="X181" s="316"/>
      <c r="Y181" s="316"/>
      <c r="AQ181" s="3"/>
    </row>
    <row r="182" spans="5:43" x14ac:dyDescent="0.35">
      <c r="E182" s="27"/>
      <c r="F182" s="62" t="s">
        <v>212</v>
      </c>
      <c r="G182" s="62" t="s">
        <v>212</v>
      </c>
      <c r="J182" s="316"/>
      <c r="K182" s="316"/>
      <c r="L182" s="318">
        <f>'Inputs by customer type'!L147</f>
        <v>832.4952805748494</v>
      </c>
      <c r="M182" s="316"/>
      <c r="N182" s="318">
        <f>'Inputs by customer type'!N147</f>
        <v>132.18256240755917</v>
      </c>
      <c r="O182" s="318">
        <f>'Inputs by customer type'!O147</f>
        <v>4.6457078313252964</v>
      </c>
      <c r="P182" s="318">
        <f>'Inputs by customer type'!P147</f>
        <v>2</v>
      </c>
      <c r="Q182" s="316"/>
      <c r="R182" s="316"/>
      <c r="S182" s="316"/>
      <c r="T182" s="316"/>
      <c r="U182" s="316"/>
      <c r="V182" s="316"/>
      <c r="W182" s="316"/>
      <c r="X182" s="316"/>
      <c r="Y182" s="316"/>
      <c r="AQ182" s="3"/>
    </row>
    <row r="183" spans="5:43" x14ac:dyDescent="0.35">
      <c r="E183" s="27"/>
      <c r="F183" s="62" t="s">
        <v>250</v>
      </c>
      <c r="G183" s="62" t="s">
        <v>251</v>
      </c>
      <c r="J183" s="316"/>
      <c r="K183" s="316"/>
      <c r="L183" s="318">
        <f>'Inputs by customer type'!L148</f>
        <v>0</v>
      </c>
      <c r="M183" s="316"/>
      <c r="N183" s="318">
        <f>'Inputs by customer type'!N148</f>
        <v>24987.250128026139</v>
      </c>
      <c r="O183" s="318">
        <f>'Inputs by customer type'!O148</f>
        <v>2769.2575429809194</v>
      </c>
      <c r="P183" s="318">
        <f>'Inputs by customer type'!P148</f>
        <v>3797.1051397956239</v>
      </c>
      <c r="Q183" s="316"/>
      <c r="R183" s="316"/>
      <c r="S183" s="316"/>
      <c r="T183" s="316"/>
      <c r="U183" s="316"/>
      <c r="V183" s="316"/>
      <c r="W183" s="316"/>
      <c r="X183" s="316"/>
      <c r="Y183" s="316"/>
      <c r="AQ183" s="3"/>
    </row>
    <row r="184" spans="5:43" x14ac:dyDescent="0.35">
      <c r="E184" s="27"/>
      <c r="F184" s="62" t="s">
        <v>252</v>
      </c>
      <c r="G184" s="62" t="s">
        <v>251</v>
      </c>
      <c r="J184" s="316"/>
      <c r="K184" s="316"/>
      <c r="L184" s="318">
        <f>'Inputs by customer type'!L149</f>
        <v>0</v>
      </c>
      <c r="M184" s="316"/>
      <c r="N184" s="318">
        <f>'Inputs by customer type'!N149</f>
        <v>43.24013387896801</v>
      </c>
      <c r="O184" s="318">
        <f>'Inputs by customer type'!O149</f>
        <v>0</v>
      </c>
      <c r="P184" s="318">
        <f>'Inputs by customer type'!P149</f>
        <v>86.871978979672974</v>
      </c>
      <c r="Q184" s="316"/>
      <c r="R184" s="316"/>
      <c r="S184" s="316"/>
      <c r="T184" s="316"/>
      <c r="U184" s="316"/>
      <c r="V184" s="316"/>
      <c r="W184" s="316"/>
      <c r="X184" s="316"/>
      <c r="Y184" s="316"/>
      <c r="AQ184" s="3"/>
    </row>
    <row r="185" spans="5:43" x14ac:dyDescent="0.35">
      <c r="E185" s="27"/>
      <c r="F185" s="70" t="s">
        <v>253</v>
      </c>
      <c r="G185" s="70" t="s">
        <v>254</v>
      </c>
      <c r="H185" s="28"/>
      <c r="I185" s="28"/>
      <c r="J185" s="71"/>
      <c r="K185" s="71"/>
      <c r="L185" s="115">
        <f>'Inputs by customer type'!L150</f>
        <v>0</v>
      </c>
      <c r="M185" s="71"/>
      <c r="N185" s="115">
        <f>'Inputs by customer type'!N150</f>
        <v>1993.619767675026</v>
      </c>
      <c r="O185" s="115">
        <f>'Inputs by customer type'!O150</f>
        <v>56.11018263991842</v>
      </c>
      <c r="P185" s="115">
        <f>'Inputs by customer type'!P150</f>
        <v>23.535918035319249</v>
      </c>
      <c r="Q185" s="71"/>
      <c r="R185" s="71"/>
      <c r="S185" s="71"/>
      <c r="T185" s="71"/>
      <c r="U185" s="71"/>
      <c r="V185" s="71"/>
      <c r="W185" s="71"/>
      <c r="X185" s="71"/>
      <c r="Y185" s="71"/>
      <c r="AQ185" s="3"/>
    </row>
    <row r="186" spans="5:43" x14ac:dyDescent="0.35">
      <c r="AQ186" s="3"/>
    </row>
    <row r="187" spans="5:43" x14ac:dyDescent="0.35">
      <c r="E187" s="27" t="s">
        <v>955</v>
      </c>
      <c r="G187" s="12"/>
      <c r="I187" t="s">
        <v>154</v>
      </c>
      <c r="AQ187" s="3"/>
    </row>
    <row r="188" spans="5:43" x14ac:dyDescent="0.35">
      <c r="E188" s="27"/>
      <c r="F188" s="68" t="s">
        <v>247</v>
      </c>
      <c r="G188" s="68" t="s">
        <v>207</v>
      </c>
      <c r="H188" s="19"/>
      <c r="I188" s="19"/>
      <c r="J188" s="73"/>
      <c r="K188" s="73"/>
      <c r="L188" s="114">
        <f>'Inputs by customer type'!L153</f>
        <v>0</v>
      </c>
      <c r="M188" s="73"/>
      <c r="N188" s="114">
        <f>'Inputs by customer type'!N153</f>
        <v>7949.9141203121799</v>
      </c>
      <c r="O188" s="114">
        <f>'Inputs by customer type'!O153</f>
        <v>732.61377285711262</v>
      </c>
      <c r="P188" s="114">
        <f>'Inputs by customer type'!P153</f>
        <v>1074.4197771764254</v>
      </c>
      <c r="Q188" s="73"/>
      <c r="R188" s="73"/>
      <c r="S188" s="73"/>
      <c r="T188" s="73"/>
      <c r="U188" s="73"/>
      <c r="V188" s="73"/>
      <c r="W188" s="73"/>
      <c r="X188" s="73"/>
      <c r="Y188" s="73"/>
      <c r="AQ188" s="3"/>
    </row>
    <row r="189" spans="5:43" x14ac:dyDescent="0.35">
      <c r="E189" s="27"/>
      <c r="F189" s="62" t="s">
        <v>248</v>
      </c>
      <c r="G189" s="62" t="s">
        <v>207</v>
      </c>
      <c r="J189" s="316"/>
      <c r="K189" s="316"/>
      <c r="L189" s="318">
        <f>'Inputs by customer type'!L154</f>
        <v>0</v>
      </c>
      <c r="M189" s="316"/>
      <c r="N189" s="318">
        <f>'Inputs by customer type'!N154</f>
        <v>42971.383883591268</v>
      </c>
      <c r="O189" s="318">
        <f>'Inputs by customer type'!O154</f>
        <v>4127.2009490636083</v>
      </c>
      <c r="P189" s="318">
        <f>'Inputs by customer type'!P154</f>
        <v>6212.1410585587864</v>
      </c>
      <c r="Q189" s="316"/>
      <c r="R189" s="316"/>
      <c r="S189" s="316"/>
      <c r="T189" s="316"/>
      <c r="U189" s="316"/>
      <c r="V189" s="316"/>
      <c r="W189" s="316"/>
      <c r="X189" s="316"/>
      <c r="Y189" s="316"/>
      <c r="AQ189" s="3"/>
    </row>
    <row r="190" spans="5:43" x14ac:dyDescent="0.35">
      <c r="E190" s="27"/>
      <c r="F190" s="62" t="s">
        <v>249</v>
      </c>
      <c r="G190" s="62" t="s">
        <v>207</v>
      </c>
      <c r="J190" s="316"/>
      <c r="K190" s="316"/>
      <c r="L190" s="318">
        <f>'Inputs by customer type'!L155</f>
        <v>0</v>
      </c>
      <c r="M190" s="316"/>
      <c r="N190" s="318">
        <f>'Inputs by customer type'!N155</f>
        <v>24209.994207652395</v>
      </c>
      <c r="O190" s="318">
        <f>'Inputs by customer type'!O155</f>
        <v>2134.5771980869972</v>
      </c>
      <c r="P190" s="318">
        <f>'Inputs by customer type'!P155</f>
        <v>4137.1980079078066</v>
      </c>
      <c r="Q190" s="316"/>
      <c r="R190" s="316"/>
      <c r="S190" s="316"/>
      <c r="T190" s="316"/>
      <c r="U190" s="316"/>
      <c r="V190" s="316"/>
      <c r="W190" s="316"/>
      <c r="X190" s="316"/>
      <c r="Y190" s="316"/>
      <c r="AQ190" s="3"/>
    </row>
    <row r="191" spans="5:43" x14ac:dyDescent="0.35">
      <c r="E191" s="27"/>
      <c r="F191" s="62" t="s">
        <v>212</v>
      </c>
      <c r="G191" s="62" t="s">
        <v>212</v>
      </c>
      <c r="J191" s="316"/>
      <c r="K191" s="316"/>
      <c r="L191" s="318">
        <f>'Inputs by customer type'!L156</f>
        <v>230.11647461469292</v>
      </c>
      <c r="M191" s="316"/>
      <c r="N191" s="318">
        <f>'Inputs by customer type'!N156</f>
        <v>193.63764006555354</v>
      </c>
      <c r="O191" s="318">
        <f>'Inputs by customer type'!O156</f>
        <v>35.367324135250705</v>
      </c>
      <c r="P191" s="318">
        <f>'Inputs by customer type'!P156</f>
        <v>3</v>
      </c>
      <c r="Q191" s="316"/>
      <c r="R191" s="316"/>
      <c r="S191" s="316"/>
      <c r="T191" s="316"/>
      <c r="U191" s="316"/>
      <c r="V191" s="316"/>
      <c r="W191" s="316"/>
      <c r="X191" s="316"/>
      <c r="Y191" s="316"/>
      <c r="AQ191" s="3"/>
    </row>
    <row r="192" spans="5:43" x14ac:dyDescent="0.35">
      <c r="E192" s="27"/>
      <c r="F192" s="62" t="s">
        <v>250</v>
      </c>
      <c r="G192" s="62" t="s">
        <v>251</v>
      </c>
      <c r="J192" s="316"/>
      <c r="K192" s="316"/>
      <c r="L192" s="318">
        <f>'Inputs by customer type'!L157</f>
        <v>0</v>
      </c>
      <c r="M192" s="316"/>
      <c r="N192" s="318">
        <f>'Inputs by customer type'!N157</f>
        <v>100960.20923707723</v>
      </c>
      <c r="O192" s="318">
        <f>'Inputs by customer type'!O157</f>
        <v>34527.48874882191</v>
      </c>
      <c r="P192" s="318">
        <f>'Inputs by customer type'!P157</f>
        <v>10997.155601328604</v>
      </c>
      <c r="Q192" s="316"/>
      <c r="R192" s="316"/>
      <c r="S192" s="316"/>
      <c r="T192" s="316"/>
      <c r="U192" s="316"/>
      <c r="V192" s="316"/>
      <c r="W192" s="316"/>
      <c r="X192" s="316"/>
      <c r="Y192" s="316"/>
      <c r="AQ192" s="3"/>
    </row>
    <row r="193" spans="4:43" x14ac:dyDescent="0.35">
      <c r="E193" s="27"/>
      <c r="F193" s="62" t="s">
        <v>252</v>
      </c>
      <c r="G193" s="62" t="s">
        <v>251</v>
      </c>
      <c r="J193" s="316"/>
      <c r="K193" s="316"/>
      <c r="L193" s="318">
        <f>'Inputs by customer type'!L158</f>
        <v>0</v>
      </c>
      <c r="M193" s="316"/>
      <c r="N193" s="318">
        <f>'Inputs by customer type'!N158</f>
        <v>174.71041997388036</v>
      </c>
      <c r="O193" s="318">
        <f>'Inputs by customer type'!O158</f>
        <v>0</v>
      </c>
      <c r="P193" s="318">
        <f>'Inputs by customer type'!P158</f>
        <v>251.59816098382575</v>
      </c>
      <c r="Q193" s="316"/>
      <c r="R193" s="316"/>
      <c r="S193" s="316"/>
      <c r="T193" s="316"/>
      <c r="U193" s="316"/>
      <c r="V193" s="316"/>
      <c r="W193" s="316"/>
      <c r="X193" s="316"/>
      <c r="Y193" s="316"/>
      <c r="AQ193" s="3"/>
    </row>
    <row r="194" spans="4:43" x14ac:dyDescent="0.35">
      <c r="E194" s="27"/>
      <c r="F194" s="70" t="s">
        <v>253</v>
      </c>
      <c r="G194" s="70" t="s">
        <v>254</v>
      </c>
      <c r="H194" s="28"/>
      <c r="I194" s="28"/>
      <c r="J194" s="71"/>
      <c r="K194" s="71"/>
      <c r="L194" s="115">
        <f>'Inputs by customer type'!L159</f>
        <v>0</v>
      </c>
      <c r="M194" s="71"/>
      <c r="N194" s="115">
        <f>'Inputs by customer type'!N159</f>
        <v>8055.158845105926</v>
      </c>
      <c r="O194" s="115">
        <f>'Inputs by customer type'!O159</f>
        <v>1010.3776873247392</v>
      </c>
      <c r="P194" s="115">
        <f>'Inputs by customer type'!P159</f>
        <v>214.086546576969</v>
      </c>
      <c r="Q194" s="71"/>
      <c r="R194" s="71"/>
      <c r="S194" s="71"/>
      <c r="T194" s="71"/>
      <c r="U194" s="71"/>
      <c r="V194" s="71"/>
      <c r="W194" s="71"/>
      <c r="X194" s="71"/>
      <c r="Y194" s="71"/>
      <c r="AQ194" s="3"/>
    </row>
    <row r="195" spans="4:43" x14ac:dyDescent="0.35">
      <c r="AQ195" s="3"/>
    </row>
    <row r="196" spans="4:43" x14ac:dyDescent="0.35">
      <c r="D196" s="24" t="s">
        <v>962</v>
      </c>
      <c r="AQ196" s="3"/>
    </row>
    <row r="197" spans="4:43" x14ac:dyDescent="0.35">
      <c r="AQ197" s="3"/>
    </row>
    <row r="198" spans="4:43" x14ac:dyDescent="0.35">
      <c r="E198" s="27" t="s">
        <v>245</v>
      </c>
      <c r="G198" s="12"/>
      <c r="I198" t="s">
        <v>154</v>
      </c>
      <c r="AA198" t="s">
        <v>246</v>
      </c>
    </row>
    <row r="199" spans="4:43" x14ac:dyDescent="0.35">
      <c r="E199" s="27"/>
      <c r="F199" s="68" t="s">
        <v>247</v>
      </c>
      <c r="G199" s="68" t="s">
        <v>207</v>
      </c>
      <c r="H199" s="19"/>
      <c r="I199" s="19"/>
      <c r="J199" s="116">
        <f t="shared" ref="J199:Y199" si="2">SUM( J67, J76, J85, J94, J58 )</f>
        <v>1178510.0378350527</v>
      </c>
      <c r="K199" s="116">
        <f t="shared" si="2"/>
        <v>327.1864201957822</v>
      </c>
      <c r="L199" s="116">
        <f t="shared" si="2"/>
        <v>305129.87712481263</v>
      </c>
      <c r="M199" s="116">
        <f t="shared" si="2"/>
        <v>600.6058735440879</v>
      </c>
      <c r="N199" s="116">
        <f t="shared" si="2"/>
        <v>500027.21340577892</v>
      </c>
      <c r="O199" s="116">
        <f t="shared" si="2"/>
        <v>28602.28095915799</v>
      </c>
      <c r="P199" s="116">
        <f t="shared" si="2"/>
        <v>379629.67491889338</v>
      </c>
      <c r="Q199" s="116">
        <f t="shared" si="2"/>
        <v>9329.8278943829773</v>
      </c>
      <c r="R199" s="116">
        <f t="shared" si="2"/>
        <v>923.34399999999982</v>
      </c>
      <c r="S199" s="116">
        <f t="shared" si="2"/>
        <v>19.360999999999997</v>
      </c>
      <c r="T199" s="116">
        <f t="shared" si="2"/>
        <v>3318.3707999999997</v>
      </c>
      <c r="U199" s="116">
        <f t="shared" si="2"/>
        <v>0</v>
      </c>
      <c r="V199" s="116">
        <f t="shared" si="2"/>
        <v>0</v>
      </c>
      <c r="W199" s="116">
        <f t="shared" si="2"/>
        <v>0</v>
      </c>
      <c r="X199" s="116">
        <f t="shared" si="2"/>
        <v>83699.301999999996</v>
      </c>
      <c r="Y199" s="116">
        <f t="shared" si="2"/>
        <v>0</v>
      </c>
    </row>
    <row r="200" spans="4:43" x14ac:dyDescent="0.35">
      <c r="E200" s="27"/>
      <c r="F200" s="62" t="s">
        <v>248</v>
      </c>
      <c r="G200" s="62" t="s">
        <v>207</v>
      </c>
      <c r="J200" s="315">
        <f t="shared" ref="J200:Y200" si="3">SUM( J68, J77, J86, J95, J59 )</f>
        <v>5172352.556943397</v>
      </c>
      <c r="K200" s="315">
        <f t="shared" si="3"/>
        <v>37209.495096629304</v>
      </c>
      <c r="L200" s="315">
        <f t="shared" si="3"/>
        <v>1928955.8760545906</v>
      </c>
      <c r="M200" s="315">
        <f t="shared" si="3"/>
        <v>7794.8644051182664</v>
      </c>
      <c r="N200" s="315">
        <f t="shared" si="3"/>
        <v>2878530.8885680321</v>
      </c>
      <c r="O200" s="315">
        <f t="shared" si="3"/>
        <v>162222.5051796615</v>
      </c>
      <c r="P200" s="315">
        <f t="shared" si="3"/>
        <v>2133439.8442807188</v>
      </c>
      <c r="Q200" s="397">
        <f t="shared" si="3"/>
        <v>68320.814254676996</v>
      </c>
      <c r="R200" s="397">
        <f t="shared" si="3"/>
        <v>7844.6260000000002</v>
      </c>
      <c r="S200" s="397">
        <f t="shared" si="3"/>
        <v>169.173</v>
      </c>
      <c r="T200" s="315">
        <f t="shared" si="3"/>
        <v>30715.611799999999</v>
      </c>
      <c r="U200" s="315">
        <f t="shared" si="3"/>
        <v>0</v>
      </c>
      <c r="V200" s="315">
        <f t="shared" si="3"/>
        <v>0</v>
      </c>
      <c r="W200" s="315">
        <f t="shared" si="3"/>
        <v>0</v>
      </c>
      <c r="X200" s="315">
        <f t="shared" si="3"/>
        <v>531894.13069999998</v>
      </c>
      <c r="Y200" s="315">
        <f t="shared" si="3"/>
        <v>0</v>
      </c>
    </row>
    <row r="201" spans="4:43" x14ac:dyDescent="0.35">
      <c r="E201" s="27"/>
      <c r="F201" s="62" t="s">
        <v>249</v>
      </c>
      <c r="G201" s="62" t="s">
        <v>207</v>
      </c>
      <c r="J201" s="315">
        <f t="shared" ref="J201:Y201" si="4">SUM( J69, J78, J87, J96, J60 )</f>
        <v>2852910.2070801561</v>
      </c>
      <c r="K201" s="315">
        <f t="shared" si="4"/>
        <v>91106.652298625209</v>
      </c>
      <c r="L201" s="315">
        <f t="shared" si="4"/>
        <v>918606.34768745257</v>
      </c>
      <c r="M201" s="315">
        <f t="shared" si="4"/>
        <v>25498.055666371529</v>
      </c>
      <c r="N201" s="315">
        <f t="shared" si="4"/>
        <v>1582969.9325476356</v>
      </c>
      <c r="O201" s="315">
        <f t="shared" si="4"/>
        <v>107923.79427646534</v>
      </c>
      <c r="P201" s="315">
        <f t="shared" si="4"/>
        <v>1470773.3917799215</v>
      </c>
      <c r="Q201" s="397">
        <f t="shared" si="4"/>
        <v>107181.81638894552</v>
      </c>
      <c r="R201" s="397">
        <f t="shared" si="4"/>
        <v>790.70799999999986</v>
      </c>
      <c r="S201" s="397">
        <f t="shared" si="4"/>
        <v>24.104999999999997</v>
      </c>
      <c r="T201" s="315">
        <f t="shared" si="4"/>
        <v>8447.357399999999</v>
      </c>
      <c r="U201" s="315">
        <f t="shared" si="4"/>
        <v>0</v>
      </c>
      <c r="V201" s="315">
        <f t="shared" si="4"/>
        <v>0</v>
      </c>
      <c r="W201" s="315">
        <f t="shared" si="4"/>
        <v>0</v>
      </c>
      <c r="X201" s="315">
        <f t="shared" si="4"/>
        <v>252426.65710000001</v>
      </c>
      <c r="Y201" s="315">
        <f t="shared" si="4"/>
        <v>0</v>
      </c>
    </row>
    <row r="202" spans="4:43" x14ac:dyDescent="0.35">
      <c r="E202" s="27"/>
      <c r="F202" s="62" t="s">
        <v>212</v>
      </c>
      <c r="G202" s="62" t="s">
        <v>212</v>
      </c>
      <c r="J202" s="315">
        <f t="shared" ref="J202:Y202" si="5">SUM( J70, J79, J88, J97, J61 )</f>
        <v>2883067.3258877532</v>
      </c>
      <c r="K202" s="315">
        <f t="shared" si="5"/>
        <v>30229.440258963554</v>
      </c>
      <c r="L202" s="315">
        <f t="shared" si="5"/>
        <v>227480.52314729209</v>
      </c>
      <c r="M202" s="315">
        <f t="shared" si="5"/>
        <v>4514.9354838709687</v>
      </c>
      <c r="N202" s="315">
        <f t="shared" si="5"/>
        <v>22893.354838709674</v>
      </c>
      <c r="O202" s="315">
        <f t="shared" si="5"/>
        <v>299.45161290322585</v>
      </c>
      <c r="P202" s="315">
        <f t="shared" si="5"/>
        <v>1841.9429487129253</v>
      </c>
      <c r="Q202" s="315">
        <f t="shared" si="5"/>
        <v>3978.3387096774172</v>
      </c>
      <c r="R202" s="315">
        <f t="shared" si="5"/>
        <v>8349.9354838709678</v>
      </c>
      <c r="S202" s="315">
        <f t="shared" si="5"/>
        <v>39</v>
      </c>
      <c r="T202" s="315">
        <f t="shared" si="5"/>
        <v>838.90322580645136</v>
      </c>
      <c r="U202" s="315">
        <f t="shared" si="5"/>
        <v>0</v>
      </c>
      <c r="V202" s="315">
        <f t="shared" si="5"/>
        <v>1</v>
      </c>
      <c r="W202" s="315">
        <f t="shared" si="5"/>
        <v>0</v>
      </c>
      <c r="X202" s="315">
        <f t="shared" si="5"/>
        <v>234.29032258064521</v>
      </c>
      <c r="Y202" s="315">
        <f t="shared" si="5"/>
        <v>0</v>
      </c>
    </row>
    <row r="203" spans="4:43" x14ac:dyDescent="0.35">
      <c r="E203" s="27"/>
      <c r="F203" s="62" t="s">
        <v>250</v>
      </c>
      <c r="G203" s="62" t="s">
        <v>251</v>
      </c>
      <c r="J203" s="69"/>
      <c r="K203" s="69"/>
      <c r="L203" s="69"/>
      <c r="M203" s="69"/>
      <c r="N203" s="315">
        <f t="shared" ref="N203:P205" si="6">SUM( N71, N80, N89, N98, N62 )</f>
        <v>3442489.8885326795</v>
      </c>
      <c r="O203" s="315">
        <f t="shared" si="6"/>
        <v>129521.66082784574</v>
      </c>
      <c r="P203" s="315">
        <f t="shared" si="6"/>
        <v>1958805.6081895947</v>
      </c>
      <c r="Q203" s="69"/>
      <c r="R203" s="69"/>
      <c r="S203" s="69"/>
      <c r="T203" s="69"/>
      <c r="U203" s="69"/>
      <c r="V203" s="69"/>
      <c r="W203" s="69"/>
      <c r="X203" s="69"/>
      <c r="Y203" s="69"/>
    </row>
    <row r="204" spans="4:43" x14ac:dyDescent="0.35">
      <c r="E204" s="27"/>
      <c r="F204" s="62" t="s">
        <v>252</v>
      </c>
      <c r="G204" s="62" t="s">
        <v>251</v>
      </c>
      <c r="J204" s="69"/>
      <c r="K204" s="69"/>
      <c r="L204" s="69"/>
      <c r="M204" s="69"/>
      <c r="N204" s="315">
        <f t="shared" si="6"/>
        <v>56241.206261113715</v>
      </c>
      <c r="O204" s="315">
        <f t="shared" si="6"/>
        <v>684.6301530255447</v>
      </c>
      <c r="P204" s="315">
        <f t="shared" si="6"/>
        <v>40360.151568241934</v>
      </c>
      <c r="Q204" s="69"/>
      <c r="R204" s="69"/>
      <c r="S204" s="69"/>
      <c r="T204" s="69"/>
      <c r="U204" s="69"/>
      <c r="V204" s="69"/>
      <c r="W204" s="69"/>
      <c r="X204" s="69"/>
      <c r="Y204" s="69"/>
    </row>
    <row r="205" spans="4:43" x14ac:dyDescent="0.35">
      <c r="E205" s="27"/>
      <c r="F205" s="70" t="s">
        <v>253</v>
      </c>
      <c r="G205" s="70" t="s">
        <v>254</v>
      </c>
      <c r="H205" s="28"/>
      <c r="I205" s="28"/>
      <c r="J205" s="71"/>
      <c r="K205" s="71"/>
      <c r="L205" s="71"/>
      <c r="M205" s="71"/>
      <c r="N205" s="90">
        <f t="shared" si="6"/>
        <v>375356.25879735843</v>
      </c>
      <c r="O205" s="90">
        <f t="shared" si="6"/>
        <v>22737.513158373185</v>
      </c>
      <c r="P205" s="90">
        <f t="shared" si="6"/>
        <v>276921.67376840481</v>
      </c>
      <c r="Q205" s="71"/>
      <c r="R205" s="71"/>
      <c r="S205" s="71"/>
      <c r="T205" s="90">
        <f>SUM( T73, T82, T91, T100, T64 )</f>
        <v>6749.0700869110524</v>
      </c>
      <c r="U205" s="71"/>
      <c r="V205" s="90">
        <f>SUM( V73, V82, V91, V100, V64 )</f>
        <v>0</v>
      </c>
      <c r="W205" s="71"/>
      <c r="X205" s="90">
        <f>SUM( X73, X82, X91, X100, X64 )</f>
        <v>37191.039110646561</v>
      </c>
      <c r="Y205" s="71"/>
    </row>
    <row r="206" spans="4:43" s="249" customFormat="1" x14ac:dyDescent="0.35">
      <c r="E206" s="250"/>
      <c r="F206" s="225"/>
      <c r="G206" s="225"/>
      <c r="J206" s="251"/>
      <c r="K206" s="251"/>
      <c r="L206" s="251"/>
      <c r="M206" s="251"/>
      <c r="N206" s="252"/>
      <c r="O206" s="252"/>
      <c r="P206" s="252"/>
      <c r="Q206" s="251"/>
      <c r="R206" s="251"/>
      <c r="S206" s="251"/>
      <c r="T206" s="252"/>
      <c r="U206" s="251"/>
      <c r="V206" s="252"/>
      <c r="W206" s="251"/>
      <c r="X206" s="252"/>
      <c r="Y206" s="251"/>
    </row>
    <row r="207" spans="4:43" x14ac:dyDescent="0.35">
      <c r="E207" s="27" t="s">
        <v>255</v>
      </c>
      <c r="G207" s="70"/>
      <c r="H207" s="28"/>
      <c r="I207" t="s">
        <v>154</v>
      </c>
      <c r="J207" s="72"/>
      <c r="K207" s="72"/>
      <c r="L207" s="72"/>
      <c r="M207" s="72"/>
      <c r="N207" s="72"/>
      <c r="O207" s="72"/>
      <c r="P207" s="72"/>
      <c r="Q207" s="72"/>
      <c r="R207" s="72"/>
      <c r="S207" s="72"/>
      <c r="T207" s="72"/>
      <c r="U207" s="72"/>
      <c r="V207" s="72"/>
      <c r="W207" s="72"/>
      <c r="X207" s="72"/>
      <c r="Y207" s="72"/>
      <c r="AA207" t="s">
        <v>246</v>
      </c>
    </row>
    <row r="208" spans="4:43" x14ac:dyDescent="0.35">
      <c r="E208" s="27"/>
      <c r="F208" s="68" t="s">
        <v>247</v>
      </c>
      <c r="G208" s="62" t="s">
        <v>207</v>
      </c>
      <c r="I208" s="19"/>
      <c r="J208" s="116">
        <f t="shared" ref="J208:N211" si="7">SUM( J114, J123, J132, J141, J105 )</f>
        <v>7691.139404590519</v>
      </c>
      <c r="K208" s="116">
        <f t="shared" si="7"/>
        <v>0</v>
      </c>
      <c r="L208" s="116">
        <f t="shared" si="7"/>
        <v>811.58849267625283</v>
      </c>
      <c r="M208" s="116">
        <f t="shared" si="7"/>
        <v>13.991341247966051</v>
      </c>
      <c r="N208" s="116">
        <f t="shared" si="7"/>
        <v>1593.0231430255917</v>
      </c>
      <c r="O208" s="73"/>
      <c r="P208" s="73"/>
      <c r="Q208" s="116">
        <f t="shared" ref="Q208:R211" si="8">SUM( Q114, Q123, Q132, Q141, Q105 )</f>
        <v>5.3186150842555566</v>
      </c>
      <c r="R208" s="116">
        <f t="shared" si="8"/>
        <v>29.156000000000002</v>
      </c>
      <c r="S208" s="73"/>
      <c r="T208" s="116">
        <f>SUM( T114, T123, T132, T141, T105 )</f>
        <v>5.6150000000000002</v>
      </c>
      <c r="U208" s="73"/>
      <c r="V208" s="73"/>
      <c r="W208" s="73"/>
      <c r="X208" s="73"/>
      <c r="Y208" s="73"/>
    </row>
    <row r="209" spans="5:27" x14ac:dyDescent="0.35">
      <c r="E209" s="27"/>
      <c r="F209" s="62" t="s">
        <v>248</v>
      </c>
      <c r="G209" s="62" t="s">
        <v>207</v>
      </c>
      <c r="J209" s="315">
        <f t="shared" si="7"/>
        <v>33745.422899500707</v>
      </c>
      <c r="K209" s="315">
        <f t="shared" si="7"/>
        <v>0</v>
      </c>
      <c r="L209" s="315">
        <f t="shared" si="7"/>
        <v>5097.47915580672</v>
      </c>
      <c r="M209" s="315">
        <f t="shared" si="7"/>
        <v>84.194128157331988</v>
      </c>
      <c r="N209" s="315">
        <f t="shared" si="7"/>
        <v>9435.4792149250625</v>
      </c>
      <c r="O209" s="69"/>
      <c r="P209" s="69"/>
      <c r="Q209" s="397">
        <f t="shared" si="8"/>
        <v>36.767992719145923</v>
      </c>
      <c r="R209" s="397">
        <f t="shared" si="8"/>
        <v>236.631</v>
      </c>
      <c r="S209" s="69"/>
      <c r="T209" s="315">
        <f>SUM( T115, T124, T133, T142, T106 )</f>
        <v>64.233000000000004</v>
      </c>
      <c r="U209" s="69"/>
      <c r="V209" s="69"/>
      <c r="W209" s="69"/>
      <c r="X209" s="69"/>
      <c r="Y209" s="69"/>
    </row>
    <row r="210" spans="5:27" x14ac:dyDescent="0.35">
      <c r="E210" s="27"/>
      <c r="F210" s="62" t="s">
        <v>249</v>
      </c>
      <c r="G210" s="62" t="s">
        <v>207</v>
      </c>
      <c r="J210" s="315">
        <f t="shared" si="7"/>
        <v>16590.570421278677</v>
      </c>
      <c r="K210" s="315">
        <f t="shared" si="7"/>
        <v>0</v>
      </c>
      <c r="L210" s="315">
        <f t="shared" si="7"/>
        <v>2375.4299195065023</v>
      </c>
      <c r="M210" s="315">
        <f t="shared" si="7"/>
        <v>38.11077354248728</v>
      </c>
      <c r="N210" s="315">
        <f t="shared" si="7"/>
        <v>5378.147933084414</v>
      </c>
      <c r="O210" s="69"/>
      <c r="P210" s="69"/>
      <c r="Q210" s="397">
        <f t="shared" si="8"/>
        <v>30.624798657932054</v>
      </c>
      <c r="R210" s="397">
        <f t="shared" si="8"/>
        <v>21.694000000000003</v>
      </c>
      <c r="S210" s="69"/>
      <c r="T210" s="315">
        <f>SUM( T116, T125, T134, T143, T107 )</f>
        <v>2.7059999999999991</v>
      </c>
      <c r="U210" s="69"/>
      <c r="V210" s="69"/>
      <c r="W210" s="69"/>
      <c r="X210" s="69"/>
      <c r="Y210" s="69"/>
    </row>
    <row r="211" spans="5:27" x14ac:dyDescent="0.35">
      <c r="E211" s="27"/>
      <c r="F211" s="62" t="s">
        <v>212</v>
      </c>
      <c r="G211" s="62" t="s">
        <v>212</v>
      </c>
      <c r="J211" s="315">
        <f t="shared" si="7"/>
        <v>34816.432226804616</v>
      </c>
      <c r="K211" s="315">
        <f t="shared" si="7"/>
        <v>0</v>
      </c>
      <c r="L211" s="315">
        <f t="shared" si="7"/>
        <v>976.90185445198563</v>
      </c>
      <c r="M211" s="315">
        <f t="shared" si="7"/>
        <v>3.0357142857142851</v>
      </c>
      <c r="N211" s="315">
        <f t="shared" si="7"/>
        <v>219.11290322580646</v>
      </c>
      <c r="O211" s="69"/>
      <c r="P211" s="69"/>
      <c r="Q211" s="315">
        <f t="shared" si="8"/>
        <v>71</v>
      </c>
      <c r="R211" s="315">
        <f t="shared" si="8"/>
        <v>104.41935483870968</v>
      </c>
      <c r="S211" s="69"/>
      <c r="T211" s="315">
        <f>SUM( T117, T126, T135, T144, T108 )</f>
        <v>1</v>
      </c>
      <c r="U211" s="69"/>
      <c r="V211" s="69"/>
      <c r="W211" s="69"/>
      <c r="X211" s="69"/>
      <c r="Y211" s="69"/>
    </row>
    <row r="212" spans="5:27" x14ac:dyDescent="0.35">
      <c r="E212" s="27"/>
      <c r="F212" s="62" t="s">
        <v>250</v>
      </c>
      <c r="G212" s="62" t="s">
        <v>251</v>
      </c>
      <c r="J212" s="69"/>
      <c r="K212" s="69"/>
      <c r="L212" s="69"/>
      <c r="M212" s="69"/>
      <c r="N212" s="315">
        <f>SUM( N118, N127, N136, N145, N109 )</f>
        <v>35121.839957124001</v>
      </c>
      <c r="O212" s="69"/>
      <c r="P212" s="69"/>
      <c r="Q212" s="69"/>
      <c r="R212" s="69"/>
      <c r="S212" s="69"/>
      <c r="T212" s="69"/>
      <c r="U212" s="69"/>
      <c r="V212" s="69"/>
      <c r="W212" s="69"/>
      <c r="X212" s="69"/>
      <c r="Y212" s="69"/>
    </row>
    <row r="213" spans="5:27" x14ac:dyDescent="0.35">
      <c r="E213" s="27"/>
      <c r="F213" s="62" t="s">
        <v>252</v>
      </c>
      <c r="G213" s="62" t="s">
        <v>251</v>
      </c>
      <c r="J213" s="69"/>
      <c r="K213" s="69"/>
      <c r="L213" s="69"/>
      <c r="M213" s="69"/>
      <c r="N213" s="315">
        <f>SUM( N119, N128, N137, N146, N110 )</f>
        <v>76.169195250659627</v>
      </c>
      <c r="O213" s="69"/>
      <c r="P213" s="69"/>
      <c r="Q213" s="69"/>
      <c r="R213" s="69"/>
      <c r="S213" s="69"/>
      <c r="T213" s="69"/>
      <c r="U213" s="69"/>
      <c r="V213" s="69"/>
      <c r="W213" s="69"/>
      <c r="X213" s="69"/>
      <c r="Y213" s="69"/>
    </row>
    <row r="214" spans="5:27" x14ac:dyDescent="0.35">
      <c r="E214" s="27"/>
      <c r="F214" s="70" t="s">
        <v>253</v>
      </c>
      <c r="G214" s="70" t="s">
        <v>254</v>
      </c>
      <c r="H214" s="28"/>
      <c r="I214" s="28"/>
      <c r="J214" s="71"/>
      <c r="K214" s="71"/>
      <c r="L214" s="71"/>
      <c r="M214" s="71"/>
      <c r="N214" s="90">
        <f>SUM( N120, N129, N138, N147, N111 )</f>
        <v>2717.3698248341379</v>
      </c>
      <c r="O214" s="71"/>
      <c r="P214" s="71"/>
      <c r="Q214" s="71"/>
      <c r="R214" s="71"/>
      <c r="S214" s="71"/>
      <c r="T214" s="90">
        <f>SUM( T120, T129, T138, T147, T111 )</f>
        <v>1.3384781668828363</v>
      </c>
      <c r="U214" s="71"/>
      <c r="V214" s="71"/>
      <c r="W214" s="71"/>
      <c r="X214" s="71"/>
      <c r="Y214" s="71"/>
    </row>
    <row r="215" spans="5:27" s="249" customFormat="1" x14ac:dyDescent="0.35">
      <c r="E215" s="250"/>
      <c r="F215" s="225"/>
      <c r="G215" s="225"/>
      <c r="J215" s="251"/>
      <c r="K215" s="251"/>
      <c r="L215" s="251"/>
      <c r="M215" s="251"/>
      <c r="N215" s="252"/>
      <c r="O215" s="251"/>
      <c r="P215" s="251"/>
      <c r="Q215" s="251"/>
      <c r="R215" s="251"/>
      <c r="S215" s="251"/>
      <c r="T215" s="252"/>
      <c r="U215" s="251"/>
      <c r="V215" s="251"/>
      <c r="W215" s="251"/>
      <c r="X215" s="251"/>
      <c r="Y215" s="251"/>
    </row>
    <row r="216" spans="5:27" x14ac:dyDescent="0.35">
      <c r="E216" s="27" t="s">
        <v>256</v>
      </c>
      <c r="G216" s="70"/>
      <c r="H216" s="28"/>
      <c r="I216" t="s">
        <v>154</v>
      </c>
      <c r="J216" s="72"/>
      <c r="K216" s="72"/>
      <c r="L216" s="72"/>
      <c r="M216" s="72"/>
      <c r="N216" s="72"/>
      <c r="O216" s="72"/>
      <c r="P216" s="72"/>
      <c r="Q216" s="72"/>
      <c r="R216" s="72"/>
      <c r="S216" s="72"/>
      <c r="T216" s="72"/>
      <c r="U216" s="72"/>
      <c r="V216" s="72"/>
      <c r="W216" s="72"/>
      <c r="X216" s="72"/>
      <c r="Y216" s="72"/>
      <c r="AA216" t="s">
        <v>246</v>
      </c>
    </row>
    <row r="217" spans="5:27" x14ac:dyDescent="0.35">
      <c r="F217" s="68" t="s">
        <v>247</v>
      </c>
      <c r="G217" s="62" t="s">
        <v>207</v>
      </c>
      <c r="I217" s="19"/>
      <c r="J217" s="116">
        <f t="shared" ref="J217:T217" si="9">SUM( J161, J170, J179, J188, J152 )</f>
        <v>25936.063443617171</v>
      </c>
      <c r="K217" s="116">
        <f t="shared" si="9"/>
        <v>129.02316403377972</v>
      </c>
      <c r="L217" s="116">
        <f t="shared" si="9"/>
        <v>2132.5599133969708</v>
      </c>
      <c r="M217" s="116">
        <f t="shared" si="9"/>
        <v>28.165165011299294</v>
      </c>
      <c r="N217" s="116">
        <f t="shared" si="9"/>
        <v>14511.784969938422</v>
      </c>
      <c r="O217" s="116">
        <f t="shared" si="9"/>
        <v>1920.3648708338674</v>
      </c>
      <c r="P217" s="116">
        <f t="shared" si="9"/>
        <v>2438.5350048546247</v>
      </c>
      <c r="Q217" s="116">
        <f t="shared" si="9"/>
        <v>125.108</v>
      </c>
      <c r="R217" s="116">
        <f t="shared" si="9"/>
        <v>0.13300000000000001</v>
      </c>
      <c r="S217" s="116">
        <f t="shared" si="9"/>
        <v>15.433999999999999</v>
      </c>
      <c r="T217" s="116">
        <f t="shared" si="9"/>
        <v>1327.0888980075765</v>
      </c>
      <c r="U217" s="73"/>
      <c r="V217" s="116">
        <f>SUM( V161, V170, V179, V188, V152 )</f>
        <v>0</v>
      </c>
      <c r="W217" s="73"/>
      <c r="X217" s="116">
        <f>SUM( X161, X170, X179, X188, X152 )</f>
        <v>26.351155247183883</v>
      </c>
      <c r="Y217" s="73"/>
    </row>
    <row r="218" spans="5:27" x14ac:dyDescent="0.35">
      <c r="F218" s="62" t="s">
        <v>248</v>
      </c>
      <c r="G218" s="62" t="s">
        <v>207</v>
      </c>
      <c r="J218" s="315">
        <f t="shared" ref="J218:T218" si="10">SUM( J162, J171, J180, J189, J153 )</f>
        <v>113627.71327885594</v>
      </c>
      <c r="K218" s="315">
        <f t="shared" si="10"/>
        <v>623.84978064236452</v>
      </c>
      <c r="L218" s="315">
        <f t="shared" si="10"/>
        <v>13446.516181585377</v>
      </c>
      <c r="M218" s="315">
        <f t="shared" si="10"/>
        <v>171.31576560045573</v>
      </c>
      <c r="N218" s="315">
        <f t="shared" si="10"/>
        <v>78440.027570369086</v>
      </c>
      <c r="O218" s="315">
        <f t="shared" si="10"/>
        <v>10818.431226790175</v>
      </c>
      <c r="P218" s="315">
        <f t="shared" si="10"/>
        <v>14099.259663853709</v>
      </c>
      <c r="Q218" s="397">
        <f t="shared" si="10"/>
        <v>779.30099999999982</v>
      </c>
      <c r="R218" s="397">
        <f t="shared" si="10"/>
        <v>7.3179999999999996</v>
      </c>
      <c r="S218" s="397">
        <f t="shared" si="10"/>
        <v>1.6240000000000001</v>
      </c>
      <c r="T218" s="315">
        <f t="shared" si="10"/>
        <v>5782.7279852995352</v>
      </c>
      <c r="U218" s="69"/>
      <c r="V218" s="315">
        <f>SUM( V162, V171, V180, V189, V153 )</f>
        <v>0</v>
      </c>
      <c r="W218" s="69"/>
      <c r="X218" s="315">
        <f>SUM( X162, X171, X180, X189, X153 )</f>
        <v>165.84055989272863</v>
      </c>
      <c r="Y218" s="69"/>
    </row>
    <row r="219" spans="5:27" x14ac:dyDescent="0.35">
      <c r="F219" s="62" t="s">
        <v>249</v>
      </c>
      <c r="G219" s="62" t="s">
        <v>207</v>
      </c>
      <c r="J219" s="315">
        <f t="shared" ref="J219:T219" si="11">SUM( J163, J172, J181, J190, J154 )</f>
        <v>55546.777639504362</v>
      </c>
      <c r="K219" s="315">
        <f t="shared" si="11"/>
        <v>584.25146271471135</v>
      </c>
      <c r="L219" s="315">
        <f t="shared" si="11"/>
        <v>6003.336075293073</v>
      </c>
      <c r="M219" s="315">
        <f t="shared" si="11"/>
        <v>85.551810528986309</v>
      </c>
      <c r="N219" s="315">
        <f t="shared" si="11"/>
        <v>44192.959162571446</v>
      </c>
      <c r="O219" s="315">
        <f t="shared" si="11"/>
        <v>5595.2634487104406</v>
      </c>
      <c r="P219" s="315">
        <f t="shared" si="11"/>
        <v>9389.9073514926458</v>
      </c>
      <c r="Q219" s="397">
        <f t="shared" si="11"/>
        <v>406.67899999999997</v>
      </c>
      <c r="R219" s="397">
        <f t="shared" si="11"/>
        <v>0.28999999999999998</v>
      </c>
      <c r="S219" s="397">
        <f t="shared" si="11"/>
        <v>0</v>
      </c>
      <c r="T219" s="315">
        <f t="shared" si="11"/>
        <v>2767.2356585674361</v>
      </c>
      <c r="U219" s="69"/>
      <c r="V219" s="315">
        <f>SUM( V163, V172, V181, V190, V154 )</f>
        <v>0</v>
      </c>
      <c r="W219" s="69"/>
      <c r="X219" s="315">
        <f>SUM( X163, X172, X181, X190, X154 )</f>
        <v>72.935642648769161</v>
      </c>
      <c r="Y219" s="69"/>
    </row>
    <row r="220" spans="5:27" x14ac:dyDescent="0.35">
      <c r="F220" s="62" t="s">
        <v>212</v>
      </c>
      <c r="G220" s="62" t="s">
        <v>212</v>
      </c>
      <c r="J220" s="315">
        <f t="shared" ref="J220:T220" si="12">SUM( J164, J173, J182, J191, J155 )</f>
        <v>128781.76565790082</v>
      </c>
      <c r="K220" s="315">
        <f t="shared" si="12"/>
        <v>533.5</v>
      </c>
      <c r="L220" s="315">
        <f t="shared" si="12"/>
        <v>3104.1898697306642</v>
      </c>
      <c r="M220" s="315">
        <f t="shared" si="12"/>
        <v>0</v>
      </c>
      <c r="N220" s="315">
        <f t="shared" si="12"/>
        <v>799.38978217904832</v>
      </c>
      <c r="O220" s="315">
        <f t="shared" si="12"/>
        <v>66.338709677419359</v>
      </c>
      <c r="P220" s="315">
        <f t="shared" si="12"/>
        <v>17</v>
      </c>
      <c r="Q220" s="315">
        <f t="shared" si="12"/>
        <v>266.64516129032251</v>
      </c>
      <c r="R220" s="315">
        <f t="shared" si="12"/>
        <v>1</v>
      </c>
      <c r="S220" s="315">
        <f t="shared" si="12"/>
        <v>1</v>
      </c>
      <c r="T220" s="315">
        <f t="shared" si="12"/>
        <v>0</v>
      </c>
      <c r="U220" s="69"/>
      <c r="V220" s="315">
        <f>SUM( V164, V173, V182, V191, V155 )</f>
        <v>0</v>
      </c>
      <c r="W220" s="69"/>
      <c r="X220" s="315">
        <f>SUM( X164, X173, X182, X191, X155 )</f>
        <v>0</v>
      </c>
      <c r="Y220" s="69"/>
    </row>
    <row r="221" spans="5:27" x14ac:dyDescent="0.35">
      <c r="F221" s="62" t="s">
        <v>250</v>
      </c>
      <c r="G221" s="62" t="s">
        <v>251</v>
      </c>
      <c r="J221" s="69"/>
      <c r="K221" s="69"/>
      <c r="L221" s="69"/>
      <c r="M221" s="69"/>
      <c r="N221" s="315">
        <f t="shared" ref="N221:P223" si="13">SUM( N165, N174, N183, N192, N156 )</f>
        <v>184292.91496685037</v>
      </c>
      <c r="O221" s="315">
        <f t="shared" si="13"/>
        <v>39243.842620481912</v>
      </c>
      <c r="P221" s="315">
        <f t="shared" si="13"/>
        <v>20893</v>
      </c>
      <c r="Q221" s="69"/>
      <c r="R221" s="69"/>
      <c r="S221" s="69"/>
      <c r="T221" s="69"/>
      <c r="U221" s="69"/>
      <c r="V221" s="69"/>
      <c r="W221" s="69"/>
      <c r="X221" s="69"/>
      <c r="Y221" s="69"/>
    </row>
    <row r="222" spans="5:27" x14ac:dyDescent="0.35">
      <c r="F222" s="62" t="s">
        <v>252</v>
      </c>
      <c r="G222" s="62" t="s">
        <v>251</v>
      </c>
      <c r="J222" s="69"/>
      <c r="K222" s="69"/>
      <c r="L222" s="69"/>
      <c r="M222" s="69"/>
      <c r="N222" s="315">
        <f t="shared" si="13"/>
        <v>318.91665850712701</v>
      </c>
      <c r="O222" s="315">
        <f t="shared" si="13"/>
        <v>0</v>
      </c>
      <c r="P222" s="315">
        <f t="shared" si="13"/>
        <v>477.99999999999983</v>
      </c>
      <c r="Q222" s="69"/>
      <c r="R222" s="69"/>
      <c r="S222" s="69"/>
      <c r="T222" s="69"/>
      <c r="U222" s="69"/>
      <c r="V222" s="69"/>
      <c r="W222" s="69"/>
      <c r="X222" s="69"/>
      <c r="Y222" s="69"/>
    </row>
    <row r="223" spans="5:27" x14ac:dyDescent="0.35">
      <c r="F223" s="70" t="s">
        <v>253</v>
      </c>
      <c r="G223" s="70" t="s">
        <v>254</v>
      </c>
      <c r="H223" s="28"/>
      <c r="I223" s="28"/>
      <c r="J223" s="71"/>
      <c r="K223" s="71"/>
      <c r="L223" s="71"/>
      <c r="M223" s="71"/>
      <c r="N223" s="90">
        <f t="shared" si="13"/>
        <v>14703.898845926709</v>
      </c>
      <c r="O223" s="90">
        <f t="shared" si="13"/>
        <v>2648.4539178752584</v>
      </c>
      <c r="P223" s="90">
        <f t="shared" si="13"/>
        <v>485.89717816656901</v>
      </c>
      <c r="Q223" s="71"/>
      <c r="R223" s="71"/>
      <c r="S223" s="71"/>
      <c r="T223" s="90">
        <f>SUM( T167, T176, T185, T194, T158 )</f>
        <v>0</v>
      </c>
      <c r="U223" s="71"/>
      <c r="V223" s="90">
        <f>SUM( V167, V176, V185, V194, V158 )</f>
        <v>0</v>
      </c>
      <c r="W223" s="71"/>
      <c r="X223" s="90">
        <f>SUM( X167, X176, X185, X194, X158 )</f>
        <v>0</v>
      </c>
      <c r="Y223" s="71"/>
    </row>
    <row r="224" spans="5:27" x14ac:dyDescent="0.35">
      <c r="G224" s="12"/>
    </row>
    <row r="225" spans="3:43" x14ac:dyDescent="0.35">
      <c r="C225" s="26" t="str">
        <f ca="1">INDEX('Version control'!$H$38:$H$61,MATCH($A$1,'Version control'!$F$38:$F$61,0),1)&amp;"-C: Volume discounting"</f>
        <v>Section 104-C: Volume discounting</v>
      </c>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Q225" s="3"/>
    </row>
    <row r="226" spans="3:43" x14ac:dyDescent="0.35">
      <c r="C226" s="27"/>
      <c r="AQ226" s="3"/>
    </row>
    <row r="227" spans="3:43" x14ac:dyDescent="0.35">
      <c r="C227" s="24" t="s">
        <v>445</v>
      </c>
      <c r="AQ227" s="3"/>
    </row>
    <row r="228" spans="3:43" x14ac:dyDescent="0.35">
      <c r="C228" s="27"/>
      <c r="AQ228" s="3"/>
    </row>
    <row r="229" spans="3:43" x14ac:dyDescent="0.35">
      <c r="C229" s="24"/>
      <c r="E229" s="27" t="s">
        <v>156</v>
      </c>
      <c r="I229" t="s">
        <v>154</v>
      </c>
      <c r="AA229" t="s">
        <v>309</v>
      </c>
      <c r="AQ229" s="3"/>
    </row>
    <row r="230" spans="3:43" x14ac:dyDescent="0.35">
      <c r="C230" s="24"/>
      <c r="E230" s="27"/>
      <c r="AQ230" s="3"/>
    </row>
    <row r="231" spans="3:43" x14ac:dyDescent="0.35">
      <c r="F231" s="23" t="s">
        <v>446</v>
      </c>
      <c r="G231" s="23" t="s">
        <v>207</v>
      </c>
      <c r="J231" s="88">
        <f t="shared" ref="J231:Y231" si="14">J$199</f>
        <v>1178510.0378350527</v>
      </c>
      <c r="K231" s="88">
        <f t="shared" si="14"/>
        <v>327.1864201957822</v>
      </c>
      <c r="L231" s="88">
        <f t="shared" si="14"/>
        <v>305129.87712481263</v>
      </c>
      <c r="M231" s="88">
        <f t="shared" si="14"/>
        <v>600.6058735440879</v>
      </c>
      <c r="N231" s="88">
        <f t="shared" si="14"/>
        <v>500027.21340577892</v>
      </c>
      <c r="O231" s="88">
        <f t="shared" si="14"/>
        <v>28602.28095915799</v>
      </c>
      <c r="P231" s="88">
        <f t="shared" si="14"/>
        <v>379629.67491889338</v>
      </c>
      <c r="Q231" s="88">
        <f t="shared" si="14"/>
        <v>9329.8278943829773</v>
      </c>
      <c r="R231" s="88">
        <f t="shared" si="14"/>
        <v>923.34399999999982</v>
      </c>
      <c r="S231" s="88">
        <f t="shared" si="14"/>
        <v>19.360999999999997</v>
      </c>
      <c r="T231" s="88">
        <f t="shared" si="14"/>
        <v>3318.3707999999997</v>
      </c>
      <c r="U231" s="88">
        <f t="shared" si="14"/>
        <v>0</v>
      </c>
      <c r="V231" s="88">
        <f t="shared" si="14"/>
        <v>0</v>
      </c>
      <c r="W231" s="88">
        <f t="shared" si="14"/>
        <v>0</v>
      </c>
      <c r="X231" s="88">
        <f t="shared" si="14"/>
        <v>83699.301999999996</v>
      </c>
      <c r="Y231" s="88">
        <f t="shared" si="14"/>
        <v>0</v>
      </c>
      <c r="AQ231" s="3"/>
    </row>
    <row r="232" spans="3:43" x14ac:dyDescent="0.35">
      <c r="F232" s="23" t="s">
        <v>447</v>
      </c>
      <c r="G232" s="23" t="s">
        <v>207</v>
      </c>
      <c r="J232" s="88">
        <f t="shared" ref="J232:Y232" si="15">J$208</f>
        <v>7691.139404590519</v>
      </c>
      <c r="K232" s="88">
        <f t="shared" si="15"/>
        <v>0</v>
      </c>
      <c r="L232" s="88">
        <f t="shared" si="15"/>
        <v>811.58849267625283</v>
      </c>
      <c r="M232" s="88">
        <f t="shared" si="15"/>
        <v>13.991341247966051</v>
      </c>
      <c r="N232" s="88">
        <f t="shared" si="15"/>
        <v>1593.0231430255917</v>
      </c>
      <c r="O232" s="88">
        <f t="shared" si="15"/>
        <v>0</v>
      </c>
      <c r="P232" s="88">
        <f t="shared" si="15"/>
        <v>0</v>
      </c>
      <c r="Q232" s="88">
        <f t="shared" si="15"/>
        <v>5.3186150842555566</v>
      </c>
      <c r="R232" s="88">
        <f t="shared" si="15"/>
        <v>29.156000000000002</v>
      </c>
      <c r="S232" s="88">
        <f t="shared" si="15"/>
        <v>0</v>
      </c>
      <c r="T232" s="88">
        <f t="shared" si="15"/>
        <v>5.6150000000000002</v>
      </c>
      <c r="U232" s="88">
        <f t="shared" si="15"/>
        <v>0</v>
      </c>
      <c r="V232" s="88">
        <f t="shared" si="15"/>
        <v>0</v>
      </c>
      <c r="W232" s="88">
        <f t="shared" si="15"/>
        <v>0</v>
      </c>
      <c r="X232" s="88">
        <f t="shared" si="15"/>
        <v>0</v>
      </c>
      <c r="Y232" s="88">
        <f t="shared" si="15"/>
        <v>0</v>
      </c>
      <c r="AQ232" s="3"/>
    </row>
    <row r="233" spans="3:43" x14ac:dyDescent="0.35">
      <c r="F233" s="23" t="s">
        <v>448</v>
      </c>
      <c r="G233" s="23" t="s">
        <v>207</v>
      </c>
      <c r="J233" s="88">
        <f t="shared" ref="J233:Y233" si="16">J$217</f>
        <v>25936.063443617171</v>
      </c>
      <c r="K233" s="88">
        <f t="shared" si="16"/>
        <v>129.02316403377972</v>
      </c>
      <c r="L233" s="88">
        <f t="shared" si="16"/>
        <v>2132.5599133969708</v>
      </c>
      <c r="M233" s="88">
        <f t="shared" si="16"/>
        <v>28.165165011299294</v>
      </c>
      <c r="N233" s="88">
        <f t="shared" si="16"/>
        <v>14511.784969938422</v>
      </c>
      <c r="O233" s="88">
        <f t="shared" si="16"/>
        <v>1920.3648708338674</v>
      </c>
      <c r="P233" s="88">
        <f t="shared" si="16"/>
        <v>2438.5350048546247</v>
      </c>
      <c r="Q233" s="88">
        <f t="shared" si="16"/>
        <v>125.108</v>
      </c>
      <c r="R233" s="88">
        <f t="shared" si="16"/>
        <v>0.13300000000000001</v>
      </c>
      <c r="S233" s="88">
        <f t="shared" si="16"/>
        <v>15.433999999999999</v>
      </c>
      <c r="T233" s="88">
        <f t="shared" si="16"/>
        <v>1327.0888980075765</v>
      </c>
      <c r="U233" s="88">
        <f t="shared" si="16"/>
        <v>0</v>
      </c>
      <c r="V233" s="88">
        <f t="shared" si="16"/>
        <v>0</v>
      </c>
      <c r="W233" s="88">
        <f t="shared" si="16"/>
        <v>0</v>
      </c>
      <c r="X233" s="88">
        <f t="shared" si="16"/>
        <v>26.351155247183883</v>
      </c>
      <c r="Y233" s="88">
        <f t="shared" si="16"/>
        <v>0</v>
      </c>
      <c r="AQ233" s="3"/>
    </row>
    <row r="234" spans="3:43" x14ac:dyDescent="0.35">
      <c r="F234" s="23" t="s">
        <v>449</v>
      </c>
      <c r="G234" s="23" t="s">
        <v>167</v>
      </c>
      <c r="J234" s="317">
        <f>IF(J$39, J$45, J$34)</f>
        <v>0.37097391060683016</v>
      </c>
      <c r="K234" s="317">
        <f t="shared" ref="K234:Y234" si="17">IF(K$39, K$45, K$34)</f>
        <v>0.37097391060683016</v>
      </c>
      <c r="L234" s="317">
        <f t="shared" si="17"/>
        <v>0.37097391060683016</v>
      </c>
      <c r="M234" s="317">
        <f t="shared" si="17"/>
        <v>0.37097391060683016</v>
      </c>
      <c r="N234" s="317">
        <f t="shared" si="17"/>
        <v>0.37097391060683016</v>
      </c>
      <c r="O234" s="317">
        <f t="shared" si="17"/>
        <v>0</v>
      </c>
      <c r="P234" s="317">
        <f t="shared" si="17"/>
        <v>0</v>
      </c>
      <c r="Q234" s="317">
        <f t="shared" si="17"/>
        <v>0.37097391060683016</v>
      </c>
      <c r="R234" s="317">
        <f t="shared" si="17"/>
        <v>0</v>
      </c>
      <c r="S234" s="317">
        <f t="shared" si="17"/>
        <v>0</v>
      </c>
      <c r="T234" s="317">
        <f t="shared" si="17"/>
        <v>0</v>
      </c>
      <c r="U234" s="317">
        <f t="shared" si="17"/>
        <v>0</v>
      </c>
      <c r="V234" s="317">
        <f t="shared" si="17"/>
        <v>0</v>
      </c>
      <c r="W234" s="317">
        <f t="shared" si="17"/>
        <v>0</v>
      </c>
      <c r="X234" s="317">
        <f t="shared" si="17"/>
        <v>0</v>
      </c>
      <c r="Y234" s="317">
        <f t="shared" si="17"/>
        <v>0</v>
      </c>
      <c r="AQ234" s="3"/>
    </row>
    <row r="235" spans="3:43" x14ac:dyDescent="0.35">
      <c r="F235" s="23" t="s">
        <v>450</v>
      </c>
      <c r="G235" s="23" t="s">
        <v>167</v>
      </c>
      <c r="J235" s="317">
        <f>IF(J$39, J$45, J$35)</f>
        <v>0.54529202281657996</v>
      </c>
      <c r="K235" s="317">
        <f t="shared" ref="K235:Y235" si="18">IF(K$39, K$45, K$35)</f>
        <v>0.54529202281657996</v>
      </c>
      <c r="L235" s="317">
        <f t="shared" si="18"/>
        <v>0.54529202281657996</v>
      </c>
      <c r="M235" s="317">
        <f t="shared" si="18"/>
        <v>0.54529202281657996</v>
      </c>
      <c r="N235" s="317">
        <f t="shared" si="18"/>
        <v>0.54529202281657996</v>
      </c>
      <c r="O235" s="317">
        <f t="shared" si="18"/>
        <v>0.25951924258539139</v>
      </c>
      <c r="P235" s="317">
        <f t="shared" si="18"/>
        <v>0.15142745426120777</v>
      </c>
      <c r="Q235" s="317">
        <f t="shared" si="18"/>
        <v>0.54529202281657996</v>
      </c>
      <c r="R235" s="317">
        <f t="shared" si="18"/>
        <v>0</v>
      </c>
      <c r="S235" s="317">
        <f t="shared" si="18"/>
        <v>0</v>
      </c>
      <c r="T235" s="317">
        <f t="shared" si="18"/>
        <v>0</v>
      </c>
      <c r="U235" s="317">
        <f t="shared" si="18"/>
        <v>0</v>
      </c>
      <c r="V235" s="317">
        <f t="shared" si="18"/>
        <v>0</v>
      </c>
      <c r="W235" s="317">
        <f t="shared" si="18"/>
        <v>0</v>
      </c>
      <c r="X235" s="317">
        <f t="shared" si="18"/>
        <v>0</v>
      </c>
      <c r="Y235" s="317">
        <f t="shared" si="18"/>
        <v>0</v>
      </c>
      <c r="AQ235" s="3"/>
    </row>
    <row r="236" spans="3:43" x14ac:dyDescent="0.35">
      <c r="F236" s="23" t="s">
        <v>451</v>
      </c>
      <c r="G236" s="23" t="s">
        <v>207</v>
      </c>
      <c r="J236" s="88">
        <f t="shared" ref="J236:Y236" si="19">J232 * (1 - J234)</f>
        <v>4837.9273426472864</v>
      </c>
      <c r="K236" s="88">
        <f t="shared" si="19"/>
        <v>0</v>
      </c>
      <c r="L236" s="88">
        <f t="shared" si="19"/>
        <v>510.5103357446406</v>
      </c>
      <c r="M236" s="88">
        <f t="shared" si="19"/>
        <v>8.8009186705734379</v>
      </c>
      <c r="N236" s="88">
        <f t="shared" si="19"/>
        <v>1002.0531179702042</v>
      </c>
      <c r="O236" s="88">
        <f t="shared" si="19"/>
        <v>0</v>
      </c>
      <c r="P236" s="88">
        <f t="shared" si="19"/>
        <v>0</v>
      </c>
      <c r="Q236" s="88">
        <f t="shared" si="19"/>
        <v>3.3455476474367973</v>
      </c>
      <c r="R236" s="88">
        <f t="shared" si="19"/>
        <v>29.156000000000002</v>
      </c>
      <c r="S236" s="88">
        <f t="shared" si="19"/>
        <v>0</v>
      </c>
      <c r="T236" s="88">
        <f t="shared" si="19"/>
        <v>5.6150000000000002</v>
      </c>
      <c r="U236" s="88">
        <f t="shared" si="19"/>
        <v>0</v>
      </c>
      <c r="V236" s="88">
        <f t="shared" si="19"/>
        <v>0</v>
      </c>
      <c r="W236" s="88">
        <f t="shared" si="19"/>
        <v>0</v>
      </c>
      <c r="X236" s="88">
        <f t="shared" si="19"/>
        <v>0</v>
      </c>
      <c r="Y236" s="88">
        <f t="shared" si="19"/>
        <v>0</v>
      </c>
      <c r="AQ236" s="3"/>
    </row>
    <row r="237" spans="3:43" x14ac:dyDescent="0.35">
      <c r="F237" s="57" t="s">
        <v>452</v>
      </c>
      <c r="G237" s="57" t="s">
        <v>207</v>
      </c>
      <c r="H237" s="28"/>
      <c r="I237" s="28"/>
      <c r="J237" s="90">
        <f t="shared" ref="J237:Y237" si="20">J233 * (1 - J235)</f>
        <v>11793.334944548011</v>
      </c>
      <c r="K237" s="90">
        <f t="shared" si="20"/>
        <v>58.667861927604569</v>
      </c>
      <c r="L237" s="90">
        <f t="shared" si="20"/>
        <v>969.69200444318608</v>
      </c>
      <c r="M237" s="90">
        <f t="shared" si="20"/>
        <v>12.80692520932514</v>
      </c>
      <c r="N237" s="90">
        <f t="shared" si="20"/>
        <v>6598.6243890014584</v>
      </c>
      <c r="O237" s="90">
        <f t="shared" si="20"/>
        <v>1421.9932340674691</v>
      </c>
      <c r="P237" s="90">
        <f t="shared" si="20"/>
        <v>2069.2738569426469</v>
      </c>
      <c r="Q237" s="90">
        <f t="shared" si="20"/>
        <v>56.887605609463314</v>
      </c>
      <c r="R237" s="90">
        <f t="shared" si="20"/>
        <v>0.13300000000000001</v>
      </c>
      <c r="S237" s="90">
        <f t="shared" si="20"/>
        <v>15.433999999999999</v>
      </c>
      <c r="T237" s="90">
        <f t="shared" si="20"/>
        <v>1327.0888980075765</v>
      </c>
      <c r="U237" s="90">
        <f t="shared" si="20"/>
        <v>0</v>
      </c>
      <c r="V237" s="90">
        <f t="shared" si="20"/>
        <v>0</v>
      </c>
      <c r="W237" s="90">
        <f t="shared" si="20"/>
        <v>0</v>
      </c>
      <c r="X237" s="90">
        <f t="shared" si="20"/>
        <v>26.351155247183883</v>
      </c>
      <c r="Y237" s="90">
        <f t="shared" si="20"/>
        <v>0</v>
      </c>
      <c r="AQ237" s="3"/>
    </row>
    <row r="238" spans="3:43" x14ac:dyDescent="0.35">
      <c r="F238" s="23" t="s">
        <v>453</v>
      </c>
      <c r="G238" s="23" t="s">
        <v>207</v>
      </c>
      <c r="J238" s="111">
        <f t="shared" ref="J238:Y238" si="21">J231 + J236 + J237</f>
        <v>1195141.300122248</v>
      </c>
      <c r="K238" s="111">
        <f t="shared" si="21"/>
        <v>385.85428212338678</v>
      </c>
      <c r="L238" s="111">
        <f t="shared" si="21"/>
        <v>306610.07946500048</v>
      </c>
      <c r="M238" s="111">
        <f t="shared" si="21"/>
        <v>622.21371742398651</v>
      </c>
      <c r="N238" s="111">
        <f t="shared" si="21"/>
        <v>507627.89091275056</v>
      </c>
      <c r="O238" s="111">
        <f t="shared" si="21"/>
        <v>30024.274193225458</v>
      </c>
      <c r="P238" s="111">
        <f t="shared" si="21"/>
        <v>381698.94877583603</v>
      </c>
      <c r="Q238" s="111">
        <f t="shared" si="21"/>
        <v>9390.0610476398779</v>
      </c>
      <c r="R238" s="111">
        <f t="shared" si="21"/>
        <v>952.63299999999981</v>
      </c>
      <c r="S238" s="111">
        <f t="shared" si="21"/>
        <v>34.794999999999995</v>
      </c>
      <c r="T238" s="111">
        <f t="shared" si="21"/>
        <v>4651.0746980075764</v>
      </c>
      <c r="U238" s="111">
        <f t="shared" si="21"/>
        <v>0</v>
      </c>
      <c r="V238" s="111">
        <f t="shared" si="21"/>
        <v>0</v>
      </c>
      <c r="W238" s="111">
        <f t="shared" si="21"/>
        <v>0</v>
      </c>
      <c r="X238" s="111">
        <f t="shared" si="21"/>
        <v>83725.653155247186</v>
      </c>
      <c r="Y238" s="111">
        <f t="shared" si="21"/>
        <v>0</v>
      </c>
      <c r="AQ238" s="3"/>
    </row>
    <row r="239" spans="3:43" x14ac:dyDescent="0.35">
      <c r="E239" s="27"/>
      <c r="J239" s="79"/>
      <c r="K239" s="79"/>
      <c r="L239" s="79"/>
      <c r="M239" s="79"/>
      <c r="N239" s="79"/>
      <c r="O239" s="79"/>
      <c r="P239" s="79"/>
      <c r="Q239" s="79"/>
      <c r="R239" s="79"/>
      <c r="S239" s="79"/>
      <c r="T239" s="79"/>
      <c r="U239" s="79"/>
      <c r="V239" s="79"/>
      <c r="W239" s="79"/>
      <c r="X239" s="79"/>
      <c r="Y239" s="79"/>
      <c r="AQ239" s="3"/>
    </row>
    <row r="240" spans="3:43" x14ac:dyDescent="0.35">
      <c r="E240" s="27" t="s">
        <v>157</v>
      </c>
      <c r="I240" t="s">
        <v>154</v>
      </c>
      <c r="J240" s="79"/>
      <c r="K240" s="79"/>
      <c r="L240" s="79"/>
      <c r="M240" s="79"/>
      <c r="N240" s="79"/>
      <c r="O240" s="79"/>
      <c r="P240" s="79"/>
      <c r="Q240" s="79"/>
      <c r="R240" s="79"/>
      <c r="S240" s="79"/>
      <c r="T240" s="79"/>
      <c r="U240" s="79"/>
      <c r="V240" s="79"/>
      <c r="W240" s="79"/>
      <c r="X240" s="79"/>
      <c r="Y240" s="79"/>
      <c r="AA240" t="s">
        <v>309</v>
      </c>
      <c r="AQ240" s="3"/>
    </row>
    <row r="241" spans="5:43" x14ac:dyDescent="0.35">
      <c r="E241" s="27"/>
      <c r="J241" s="79"/>
      <c r="K241" s="79"/>
      <c r="L241" s="79"/>
      <c r="M241" s="79"/>
      <c r="N241" s="79"/>
      <c r="O241" s="79"/>
      <c r="P241" s="79"/>
      <c r="Q241" s="79"/>
      <c r="R241" s="79"/>
      <c r="S241" s="79"/>
      <c r="T241" s="79"/>
      <c r="U241" s="79"/>
      <c r="V241" s="79"/>
      <c r="W241" s="79"/>
      <c r="X241" s="79"/>
      <c r="Y241" s="79"/>
      <c r="AQ241" s="3"/>
    </row>
    <row r="242" spans="5:43" x14ac:dyDescent="0.35">
      <c r="F242" s="23" t="s">
        <v>446</v>
      </c>
      <c r="G242" s="23" t="s">
        <v>207</v>
      </c>
      <c r="J242" s="88">
        <f t="shared" ref="J242:Y242" si="22">J$200</f>
        <v>5172352.556943397</v>
      </c>
      <c r="K242" s="88">
        <f t="shared" si="22"/>
        <v>37209.495096629304</v>
      </c>
      <c r="L242" s="88">
        <f t="shared" si="22"/>
        <v>1928955.8760545906</v>
      </c>
      <c r="M242" s="88">
        <f t="shared" si="22"/>
        <v>7794.8644051182664</v>
      </c>
      <c r="N242" s="88">
        <f t="shared" si="22"/>
        <v>2878530.8885680321</v>
      </c>
      <c r="O242" s="88">
        <f t="shared" si="22"/>
        <v>162222.5051796615</v>
      </c>
      <c r="P242" s="88">
        <f t="shared" si="22"/>
        <v>2133439.8442807188</v>
      </c>
      <c r="Q242" s="88">
        <f t="shared" si="22"/>
        <v>68320.814254676996</v>
      </c>
      <c r="R242" s="88">
        <f t="shared" si="22"/>
        <v>7844.6260000000002</v>
      </c>
      <c r="S242" s="88">
        <f t="shared" si="22"/>
        <v>169.173</v>
      </c>
      <c r="T242" s="88">
        <f t="shared" si="22"/>
        <v>30715.611799999999</v>
      </c>
      <c r="U242" s="88">
        <f t="shared" si="22"/>
        <v>0</v>
      </c>
      <c r="V242" s="88">
        <f t="shared" si="22"/>
        <v>0</v>
      </c>
      <c r="W242" s="88">
        <f t="shared" si="22"/>
        <v>0</v>
      </c>
      <c r="X242" s="88">
        <f t="shared" si="22"/>
        <v>531894.13069999998</v>
      </c>
      <c r="Y242" s="88">
        <f t="shared" si="22"/>
        <v>0</v>
      </c>
      <c r="AQ242" s="3"/>
    </row>
    <row r="243" spans="5:43" x14ac:dyDescent="0.35">
      <c r="F243" s="23" t="s">
        <v>447</v>
      </c>
      <c r="G243" s="23" t="s">
        <v>207</v>
      </c>
      <c r="J243" s="88">
        <f t="shared" ref="J243:Y243" si="23">J$209</f>
        <v>33745.422899500707</v>
      </c>
      <c r="K243" s="88">
        <f t="shared" si="23"/>
        <v>0</v>
      </c>
      <c r="L243" s="88">
        <f t="shared" si="23"/>
        <v>5097.47915580672</v>
      </c>
      <c r="M243" s="88">
        <f t="shared" si="23"/>
        <v>84.194128157331988</v>
      </c>
      <c r="N243" s="88">
        <f t="shared" si="23"/>
        <v>9435.4792149250625</v>
      </c>
      <c r="O243" s="88">
        <f t="shared" si="23"/>
        <v>0</v>
      </c>
      <c r="P243" s="88">
        <f t="shared" si="23"/>
        <v>0</v>
      </c>
      <c r="Q243" s="88">
        <f t="shared" si="23"/>
        <v>36.767992719145923</v>
      </c>
      <c r="R243" s="88">
        <f t="shared" si="23"/>
        <v>236.631</v>
      </c>
      <c r="S243" s="88">
        <f t="shared" si="23"/>
        <v>0</v>
      </c>
      <c r="T243" s="88">
        <f t="shared" si="23"/>
        <v>64.233000000000004</v>
      </c>
      <c r="U243" s="88">
        <f t="shared" si="23"/>
        <v>0</v>
      </c>
      <c r="V243" s="88">
        <f t="shared" si="23"/>
        <v>0</v>
      </c>
      <c r="W243" s="88">
        <f t="shared" si="23"/>
        <v>0</v>
      </c>
      <c r="X243" s="88">
        <f t="shared" si="23"/>
        <v>0</v>
      </c>
      <c r="Y243" s="88">
        <f t="shared" si="23"/>
        <v>0</v>
      </c>
      <c r="AQ243" s="3"/>
    </row>
    <row r="244" spans="5:43" x14ac:dyDescent="0.35">
      <c r="F244" s="23" t="s">
        <v>448</v>
      </c>
      <c r="G244" s="23" t="s">
        <v>207</v>
      </c>
      <c r="J244" s="88">
        <f t="shared" ref="J244:Y244" si="24">J$218</f>
        <v>113627.71327885594</v>
      </c>
      <c r="K244" s="88">
        <f t="shared" si="24"/>
        <v>623.84978064236452</v>
      </c>
      <c r="L244" s="88">
        <f t="shared" si="24"/>
        <v>13446.516181585377</v>
      </c>
      <c r="M244" s="88">
        <f t="shared" si="24"/>
        <v>171.31576560045573</v>
      </c>
      <c r="N244" s="88">
        <f t="shared" si="24"/>
        <v>78440.027570369086</v>
      </c>
      <c r="O244" s="88">
        <f t="shared" si="24"/>
        <v>10818.431226790175</v>
      </c>
      <c r="P244" s="88">
        <f t="shared" si="24"/>
        <v>14099.259663853709</v>
      </c>
      <c r="Q244" s="88">
        <f t="shared" si="24"/>
        <v>779.30099999999982</v>
      </c>
      <c r="R244" s="88">
        <f t="shared" si="24"/>
        <v>7.3179999999999996</v>
      </c>
      <c r="S244" s="88">
        <f t="shared" si="24"/>
        <v>1.6240000000000001</v>
      </c>
      <c r="T244" s="88">
        <f t="shared" si="24"/>
        <v>5782.7279852995352</v>
      </c>
      <c r="U244" s="88">
        <f t="shared" si="24"/>
        <v>0</v>
      </c>
      <c r="V244" s="88">
        <f t="shared" si="24"/>
        <v>0</v>
      </c>
      <c r="W244" s="88">
        <f t="shared" si="24"/>
        <v>0</v>
      </c>
      <c r="X244" s="88">
        <f t="shared" si="24"/>
        <v>165.84055989272863</v>
      </c>
      <c r="Y244" s="88">
        <f t="shared" si="24"/>
        <v>0</v>
      </c>
      <c r="AQ244" s="3"/>
    </row>
    <row r="245" spans="5:43" x14ac:dyDescent="0.35">
      <c r="F245" s="23" t="s">
        <v>449</v>
      </c>
      <c r="G245" s="23" t="s">
        <v>167</v>
      </c>
      <c r="J245" s="363">
        <f t="shared" ref="J245:Y245" si="25">IF(J$39, J$45, J$34)</f>
        <v>0.37097391060683016</v>
      </c>
      <c r="K245" s="363">
        <f t="shared" si="25"/>
        <v>0.37097391060683016</v>
      </c>
      <c r="L245" s="363">
        <f t="shared" si="25"/>
        <v>0.37097391060683016</v>
      </c>
      <c r="M245" s="363">
        <f t="shared" si="25"/>
        <v>0.37097391060683016</v>
      </c>
      <c r="N245" s="363">
        <f t="shared" si="25"/>
        <v>0.37097391060683016</v>
      </c>
      <c r="O245" s="363">
        <f t="shared" si="25"/>
        <v>0</v>
      </c>
      <c r="P245" s="363">
        <f t="shared" si="25"/>
        <v>0</v>
      </c>
      <c r="Q245" s="363">
        <f t="shared" si="25"/>
        <v>0.37097391060683016</v>
      </c>
      <c r="R245" s="363">
        <f t="shared" si="25"/>
        <v>0</v>
      </c>
      <c r="S245" s="363">
        <f t="shared" si="25"/>
        <v>0</v>
      </c>
      <c r="T245" s="363">
        <f t="shared" si="25"/>
        <v>0</v>
      </c>
      <c r="U245" s="363">
        <f t="shared" si="25"/>
        <v>0</v>
      </c>
      <c r="V245" s="363">
        <f t="shared" si="25"/>
        <v>0</v>
      </c>
      <c r="W245" s="363">
        <f t="shared" si="25"/>
        <v>0</v>
      </c>
      <c r="X245" s="363">
        <f t="shared" si="25"/>
        <v>0</v>
      </c>
      <c r="Y245" s="363">
        <f t="shared" si="25"/>
        <v>0</v>
      </c>
      <c r="AQ245" s="3"/>
    </row>
    <row r="246" spans="5:43" x14ac:dyDescent="0.35">
      <c r="F246" s="23" t="s">
        <v>450</v>
      </c>
      <c r="G246" s="23" t="s">
        <v>167</v>
      </c>
      <c r="J246" s="363">
        <f t="shared" ref="J246:Y246" si="26">IF(J$39, J$45, J$35)</f>
        <v>0.54529202281657996</v>
      </c>
      <c r="K246" s="363">
        <f t="shared" si="26"/>
        <v>0.54529202281657996</v>
      </c>
      <c r="L246" s="363">
        <f t="shared" si="26"/>
        <v>0.54529202281657996</v>
      </c>
      <c r="M246" s="363">
        <f t="shared" si="26"/>
        <v>0.54529202281657996</v>
      </c>
      <c r="N246" s="363">
        <f t="shared" si="26"/>
        <v>0.54529202281657996</v>
      </c>
      <c r="O246" s="363">
        <f t="shared" si="26"/>
        <v>0.25951924258539139</v>
      </c>
      <c r="P246" s="363">
        <f t="shared" si="26"/>
        <v>0.15142745426120777</v>
      </c>
      <c r="Q246" s="363">
        <f t="shared" si="26"/>
        <v>0.54529202281657996</v>
      </c>
      <c r="R246" s="363">
        <f t="shared" si="26"/>
        <v>0</v>
      </c>
      <c r="S246" s="363">
        <f t="shared" si="26"/>
        <v>0</v>
      </c>
      <c r="T246" s="363">
        <f t="shared" si="26"/>
        <v>0</v>
      </c>
      <c r="U246" s="363">
        <f t="shared" si="26"/>
        <v>0</v>
      </c>
      <c r="V246" s="363">
        <f t="shared" si="26"/>
        <v>0</v>
      </c>
      <c r="W246" s="363">
        <f t="shared" si="26"/>
        <v>0</v>
      </c>
      <c r="X246" s="363">
        <f t="shared" si="26"/>
        <v>0</v>
      </c>
      <c r="Y246" s="363">
        <f t="shared" si="26"/>
        <v>0</v>
      </c>
      <c r="AQ246" s="3"/>
    </row>
    <row r="247" spans="5:43" x14ac:dyDescent="0.35">
      <c r="F247" s="23" t="s">
        <v>451</v>
      </c>
      <c r="G247" s="23" t="s">
        <v>207</v>
      </c>
      <c r="J247" s="88">
        <f t="shared" ref="J247:Y247" si="27">J243 * (1 - J245)</f>
        <v>21226.751401391652</v>
      </c>
      <c r="K247" s="88">
        <f t="shared" si="27"/>
        <v>0</v>
      </c>
      <c r="L247" s="88">
        <f t="shared" si="27"/>
        <v>3206.4473791402979</v>
      </c>
      <c r="M247" s="88">
        <f t="shared" si="27"/>
        <v>52.960303184673911</v>
      </c>
      <c r="N247" s="88">
        <f t="shared" si="27"/>
        <v>5935.1625921148479</v>
      </c>
      <c r="O247" s="88">
        <f t="shared" si="27"/>
        <v>0</v>
      </c>
      <c r="P247" s="88">
        <f t="shared" si="27"/>
        <v>0</v>
      </c>
      <c r="Q247" s="88">
        <f t="shared" si="27"/>
        <v>23.1280266749609</v>
      </c>
      <c r="R247" s="88">
        <f t="shared" si="27"/>
        <v>236.631</v>
      </c>
      <c r="S247" s="88">
        <f t="shared" si="27"/>
        <v>0</v>
      </c>
      <c r="T247" s="88">
        <f t="shared" si="27"/>
        <v>64.233000000000004</v>
      </c>
      <c r="U247" s="88">
        <f t="shared" si="27"/>
        <v>0</v>
      </c>
      <c r="V247" s="88">
        <f t="shared" si="27"/>
        <v>0</v>
      </c>
      <c r="W247" s="88">
        <f t="shared" si="27"/>
        <v>0</v>
      </c>
      <c r="X247" s="88">
        <f t="shared" si="27"/>
        <v>0</v>
      </c>
      <c r="Y247" s="88">
        <f t="shared" si="27"/>
        <v>0</v>
      </c>
      <c r="AQ247" s="3"/>
    </row>
    <row r="248" spans="5:43" x14ac:dyDescent="0.35">
      <c r="F248" s="57" t="s">
        <v>452</v>
      </c>
      <c r="G248" s="57" t="s">
        <v>207</v>
      </c>
      <c r="H248" s="28"/>
      <c r="I248" s="28"/>
      <c r="J248" s="90">
        <f t="shared" ref="J248:Y248" si="28">J244 * (1 - J246)</f>
        <v>51667.427657006221</v>
      </c>
      <c r="K248" s="90">
        <f t="shared" si="28"/>
        <v>283.66947182220986</v>
      </c>
      <c r="L248" s="90">
        <f t="shared" si="28"/>
        <v>6114.2381730928118</v>
      </c>
      <c r="M248" s="90">
        <f t="shared" si="28"/>
        <v>77.898645235812168</v>
      </c>
      <c r="N248" s="90">
        <f t="shared" si="28"/>
        <v>35667.306266734224</v>
      </c>
      <c r="O248" s="90">
        <f t="shared" si="28"/>
        <v>8010.8401488514419</v>
      </c>
      <c r="P248" s="90">
        <f t="shared" si="28"/>
        <v>11964.24466598861</v>
      </c>
      <c r="Q248" s="90">
        <f t="shared" si="28"/>
        <v>354.35438132701631</v>
      </c>
      <c r="R248" s="90">
        <f t="shared" si="28"/>
        <v>7.3179999999999996</v>
      </c>
      <c r="S248" s="90">
        <f t="shared" si="28"/>
        <v>1.6240000000000001</v>
      </c>
      <c r="T248" s="90">
        <f t="shared" si="28"/>
        <v>5782.7279852995352</v>
      </c>
      <c r="U248" s="90">
        <f t="shared" si="28"/>
        <v>0</v>
      </c>
      <c r="V248" s="90">
        <f t="shared" si="28"/>
        <v>0</v>
      </c>
      <c r="W248" s="90">
        <f t="shared" si="28"/>
        <v>0</v>
      </c>
      <c r="X248" s="90">
        <f t="shared" si="28"/>
        <v>165.84055989272863</v>
      </c>
      <c r="Y248" s="90">
        <f t="shared" si="28"/>
        <v>0</v>
      </c>
      <c r="AQ248" s="3"/>
    </row>
    <row r="249" spans="5:43" x14ac:dyDescent="0.35">
      <c r="F249" s="23" t="s">
        <v>453</v>
      </c>
      <c r="G249" s="23" t="s">
        <v>207</v>
      </c>
      <c r="J249" s="111">
        <f t="shared" ref="J249:Y249" si="29">J242 + J247 + J248</f>
        <v>5245246.7360017952</v>
      </c>
      <c r="K249" s="111">
        <f t="shared" si="29"/>
        <v>37493.164568451517</v>
      </c>
      <c r="L249" s="111">
        <f t="shared" si="29"/>
        <v>1938276.5616068235</v>
      </c>
      <c r="M249" s="111">
        <f t="shared" si="29"/>
        <v>7925.7233535387522</v>
      </c>
      <c r="N249" s="111">
        <f t="shared" si="29"/>
        <v>2920133.3574268813</v>
      </c>
      <c r="O249" s="111">
        <f t="shared" si="29"/>
        <v>170233.34532851295</v>
      </c>
      <c r="P249" s="111">
        <f t="shared" si="29"/>
        <v>2145404.0889467075</v>
      </c>
      <c r="Q249" s="111">
        <f t="shared" si="29"/>
        <v>68698.296662678986</v>
      </c>
      <c r="R249" s="111">
        <f t="shared" si="29"/>
        <v>8088.5750000000007</v>
      </c>
      <c r="S249" s="111">
        <f t="shared" si="29"/>
        <v>170.797</v>
      </c>
      <c r="T249" s="111">
        <f t="shared" si="29"/>
        <v>36562.572785299533</v>
      </c>
      <c r="U249" s="111">
        <f t="shared" si="29"/>
        <v>0</v>
      </c>
      <c r="V249" s="111">
        <f t="shared" si="29"/>
        <v>0</v>
      </c>
      <c r="W249" s="111">
        <f t="shared" si="29"/>
        <v>0</v>
      </c>
      <c r="X249" s="111">
        <f t="shared" si="29"/>
        <v>532059.97125989269</v>
      </c>
      <c r="Y249" s="111">
        <f t="shared" si="29"/>
        <v>0</v>
      </c>
      <c r="AQ249" s="3"/>
    </row>
    <row r="250" spans="5:43" x14ac:dyDescent="0.35">
      <c r="E250" s="27"/>
      <c r="J250" s="79"/>
      <c r="K250" s="79"/>
      <c r="L250" s="79"/>
      <c r="M250" s="79"/>
      <c r="N250" s="79"/>
      <c r="O250" s="79"/>
      <c r="P250" s="79"/>
      <c r="Q250" s="79"/>
      <c r="R250" s="79"/>
      <c r="S250" s="79"/>
      <c r="T250" s="79"/>
      <c r="U250" s="79"/>
      <c r="V250" s="79"/>
      <c r="W250" s="79"/>
      <c r="X250" s="79"/>
      <c r="Y250" s="79"/>
      <c r="AQ250" s="3"/>
    </row>
    <row r="251" spans="5:43" x14ac:dyDescent="0.35">
      <c r="E251" s="27" t="s">
        <v>158</v>
      </c>
      <c r="I251" t="s">
        <v>154</v>
      </c>
      <c r="J251" s="79"/>
      <c r="K251" s="79"/>
      <c r="L251" s="79"/>
      <c r="M251" s="79"/>
      <c r="N251" s="79"/>
      <c r="O251" s="79"/>
      <c r="P251" s="79"/>
      <c r="Q251" s="79"/>
      <c r="R251" s="79"/>
      <c r="S251" s="79"/>
      <c r="T251" s="79"/>
      <c r="U251" s="79"/>
      <c r="V251" s="79"/>
      <c r="W251" s="79"/>
      <c r="X251" s="79"/>
      <c r="Y251" s="79"/>
      <c r="AA251" t="s">
        <v>309</v>
      </c>
      <c r="AQ251" s="3"/>
    </row>
    <row r="252" spans="5:43" x14ac:dyDescent="0.35">
      <c r="E252" s="27"/>
      <c r="J252" s="79"/>
      <c r="K252" s="79"/>
      <c r="L252" s="79"/>
      <c r="M252" s="79"/>
      <c r="N252" s="79"/>
      <c r="O252" s="79"/>
      <c r="P252" s="79"/>
      <c r="Q252" s="79"/>
      <c r="R252" s="79"/>
      <c r="S252" s="79"/>
      <c r="T252" s="79"/>
      <c r="U252" s="79"/>
      <c r="V252" s="79"/>
      <c r="W252" s="79"/>
      <c r="X252" s="79"/>
      <c r="Y252" s="79"/>
      <c r="AQ252" s="3"/>
    </row>
    <row r="253" spans="5:43" x14ac:dyDescent="0.35">
      <c r="F253" s="23" t="s">
        <v>446</v>
      </c>
      <c r="G253" s="23" t="s">
        <v>207</v>
      </c>
      <c r="J253" s="88">
        <f t="shared" ref="J253:Y253" si="30">J$201</f>
        <v>2852910.2070801561</v>
      </c>
      <c r="K253" s="88">
        <f t="shared" si="30"/>
        <v>91106.652298625209</v>
      </c>
      <c r="L253" s="88">
        <f t="shared" si="30"/>
        <v>918606.34768745257</v>
      </c>
      <c r="M253" s="88">
        <f t="shared" si="30"/>
        <v>25498.055666371529</v>
      </c>
      <c r="N253" s="88">
        <f t="shared" si="30"/>
        <v>1582969.9325476356</v>
      </c>
      <c r="O253" s="88">
        <f t="shared" si="30"/>
        <v>107923.79427646534</v>
      </c>
      <c r="P253" s="88">
        <f t="shared" si="30"/>
        <v>1470773.3917799215</v>
      </c>
      <c r="Q253" s="88">
        <f t="shared" si="30"/>
        <v>107181.81638894552</v>
      </c>
      <c r="R253" s="88">
        <f t="shared" si="30"/>
        <v>790.70799999999986</v>
      </c>
      <c r="S253" s="88">
        <f t="shared" si="30"/>
        <v>24.104999999999997</v>
      </c>
      <c r="T253" s="88">
        <f t="shared" si="30"/>
        <v>8447.357399999999</v>
      </c>
      <c r="U253" s="88">
        <f t="shared" si="30"/>
        <v>0</v>
      </c>
      <c r="V253" s="88">
        <f t="shared" si="30"/>
        <v>0</v>
      </c>
      <c r="W253" s="88">
        <f t="shared" si="30"/>
        <v>0</v>
      </c>
      <c r="X253" s="88">
        <f t="shared" si="30"/>
        <v>252426.65710000001</v>
      </c>
      <c r="Y253" s="88">
        <f t="shared" si="30"/>
        <v>0</v>
      </c>
      <c r="AQ253" s="3"/>
    </row>
    <row r="254" spans="5:43" x14ac:dyDescent="0.35">
      <c r="F254" s="23" t="s">
        <v>447</v>
      </c>
      <c r="G254" s="23" t="s">
        <v>207</v>
      </c>
      <c r="J254" s="88">
        <f t="shared" ref="J254:Y254" si="31">J$210</f>
        <v>16590.570421278677</v>
      </c>
      <c r="K254" s="88">
        <f t="shared" si="31"/>
        <v>0</v>
      </c>
      <c r="L254" s="88">
        <f t="shared" si="31"/>
        <v>2375.4299195065023</v>
      </c>
      <c r="M254" s="88">
        <f t="shared" si="31"/>
        <v>38.11077354248728</v>
      </c>
      <c r="N254" s="88">
        <f t="shared" si="31"/>
        <v>5378.147933084414</v>
      </c>
      <c r="O254" s="88">
        <f t="shared" si="31"/>
        <v>0</v>
      </c>
      <c r="P254" s="88">
        <f t="shared" si="31"/>
        <v>0</v>
      </c>
      <c r="Q254" s="88">
        <f t="shared" si="31"/>
        <v>30.624798657932054</v>
      </c>
      <c r="R254" s="88">
        <f t="shared" si="31"/>
        <v>21.694000000000003</v>
      </c>
      <c r="S254" s="88">
        <f t="shared" si="31"/>
        <v>0</v>
      </c>
      <c r="T254" s="88">
        <f t="shared" si="31"/>
        <v>2.7059999999999991</v>
      </c>
      <c r="U254" s="88">
        <f t="shared" si="31"/>
        <v>0</v>
      </c>
      <c r="V254" s="88">
        <f t="shared" si="31"/>
        <v>0</v>
      </c>
      <c r="W254" s="88">
        <f t="shared" si="31"/>
        <v>0</v>
      </c>
      <c r="X254" s="88">
        <f t="shared" si="31"/>
        <v>0</v>
      </c>
      <c r="Y254" s="88">
        <f t="shared" si="31"/>
        <v>0</v>
      </c>
      <c r="AQ254" s="3"/>
    </row>
    <row r="255" spans="5:43" x14ac:dyDescent="0.35">
      <c r="F255" s="23" t="s">
        <v>448</v>
      </c>
      <c r="G255" s="23" t="s">
        <v>207</v>
      </c>
      <c r="J255" s="88">
        <f t="shared" ref="J255:Y255" si="32">J$219</f>
        <v>55546.777639504362</v>
      </c>
      <c r="K255" s="88">
        <f t="shared" si="32"/>
        <v>584.25146271471135</v>
      </c>
      <c r="L255" s="88">
        <f t="shared" si="32"/>
        <v>6003.336075293073</v>
      </c>
      <c r="M255" s="88">
        <f t="shared" si="32"/>
        <v>85.551810528986309</v>
      </c>
      <c r="N255" s="88">
        <f t="shared" si="32"/>
        <v>44192.959162571446</v>
      </c>
      <c r="O255" s="88">
        <f t="shared" si="32"/>
        <v>5595.2634487104406</v>
      </c>
      <c r="P255" s="88">
        <f t="shared" si="32"/>
        <v>9389.9073514926458</v>
      </c>
      <c r="Q255" s="88">
        <f t="shared" si="32"/>
        <v>406.67899999999997</v>
      </c>
      <c r="R255" s="88">
        <f t="shared" si="32"/>
        <v>0.28999999999999998</v>
      </c>
      <c r="S255" s="88">
        <f t="shared" si="32"/>
        <v>0</v>
      </c>
      <c r="T255" s="88">
        <f t="shared" si="32"/>
        <v>2767.2356585674361</v>
      </c>
      <c r="U255" s="88">
        <f t="shared" si="32"/>
        <v>0</v>
      </c>
      <c r="V255" s="88">
        <f t="shared" si="32"/>
        <v>0</v>
      </c>
      <c r="W255" s="88">
        <f t="shared" si="32"/>
        <v>0</v>
      </c>
      <c r="X255" s="88">
        <f t="shared" si="32"/>
        <v>72.935642648769161</v>
      </c>
      <c r="Y255" s="88">
        <f t="shared" si="32"/>
        <v>0</v>
      </c>
      <c r="AQ255" s="3"/>
    </row>
    <row r="256" spans="5:43" x14ac:dyDescent="0.35">
      <c r="F256" s="23" t="s">
        <v>449</v>
      </c>
      <c r="G256" s="23" t="s">
        <v>167</v>
      </c>
      <c r="J256" s="363">
        <f t="shared" ref="J256:Y256" si="33">IF(J$39, J$45, J$34)</f>
        <v>0.37097391060683016</v>
      </c>
      <c r="K256" s="363">
        <f t="shared" si="33"/>
        <v>0.37097391060683016</v>
      </c>
      <c r="L256" s="363">
        <f t="shared" si="33"/>
        <v>0.37097391060683016</v>
      </c>
      <c r="M256" s="363">
        <f t="shared" si="33"/>
        <v>0.37097391060683016</v>
      </c>
      <c r="N256" s="363">
        <f t="shared" si="33"/>
        <v>0.37097391060683016</v>
      </c>
      <c r="O256" s="363">
        <f t="shared" si="33"/>
        <v>0</v>
      </c>
      <c r="P256" s="363">
        <f t="shared" si="33"/>
        <v>0</v>
      </c>
      <c r="Q256" s="363">
        <f t="shared" si="33"/>
        <v>0.37097391060683016</v>
      </c>
      <c r="R256" s="363">
        <f t="shared" si="33"/>
        <v>0</v>
      </c>
      <c r="S256" s="363">
        <f t="shared" si="33"/>
        <v>0</v>
      </c>
      <c r="T256" s="363">
        <f t="shared" si="33"/>
        <v>0</v>
      </c>
      <c r="U256" s="363">
        <f t="shared" si="33"/>
        <v>0</v>
      </c>
      <c r="V256" s="363">
        <f t="shared" si="33"/>
        <v>0</v>
      </c>
      <c r="W256" s="363">
        <f t="shared" si="33"/>
        <v>0</v>
      </c>
      <c r="X256" s="363">
        <f t="shared" si="33"/>
        <v>0</v>
      </c>
      <c r="Y256" s="363">
        <f t="shared" si="33"/>
        <v>0</v>
      </c>
      <c r="AQ256" s="3"/>
    </row>
    <row r="257" spans="5:43" x14ac:dyDescent="0.35">
      <c r="F257" s="23" t="s">
        <v>450</v>
      </c>
      <c r="G257" s="23" t="s">
        <v>167</v>
      </c>
      <c r="J257" s="363">
        <f t="shared" ref="J257:Y257" si="34">IF(J$39, J$45, J$35)</f>
        <v>0.54529202281657996</v>
      </c>
      <c r="K257" s="363">
        <f t="shared" si="34"/>
        <v>0.54529202281657996</v>
      </c>
      <c r="L257" s="363">
        <f t="shared" si="34"/>
        <v>0.54529202281657996</v>
      </c>
      <c r="M257" s="363">
        <f t="shared" si="34"/>
        <v>0.54529202281657996</v>
      </c>
      <c r="N257" s="363">
        <f t="shared" si="34"/>
        <v>0.54529202281657996</v>
      </c>
      <c r="O257" s="363">
        <f t="shared" si="34"/>
        <v>0.25951924258539139</v>
      </c>
      <c r="P257" s="363">
        <f t="shared" si="34"/>
        <v>0.15142745426120777</v>
      </c>
      <c r="Q257" s="363">
        <f t="shared" si="34"/>
        <v>0.54529202281657996</v>
      </c>
      <c r="R257" s="363">
        <f t="shared" si="34"/>
        <v>0</v>
      </c>
      <c r="S257" s="363">
        <f t="shared" si="34"/>
        <v>0</v>
      </c>
      <c r="T257" s="363">
        <f t="shared" si="34"/>
        <v>0</v>
      </c>
      <c r="U257" s="363">
        <f t="shared" si="34"/>
        <v>0</v>
      </c>
      <c r="V257" s="363">
        <f t="shared" si="34"/>
        <v>0</v>
      </c>
      <c r="W257" s="363">
        <f t="shared" si="34"/>
        <v>0</v>
      </c>
      <c r="X257" s="363">
        <f t="shared" si="34"/>
        <v>0</v>
      </c>
      <c r="Y257" s="363">
        <f t="shared" si="34"/>
        <v>0</v>
      </c>
      <c r="AQ257" s="3"/>
    </row>
    <row r="258" spans="5:43" x14ac:dyDescent="0.35">
      <c r="F258" s="23" t="s">
        <v>451</v>
      </c>
      <c r="G258" s="23" t="s">
        <v>207</v>
      </c>
      <c r="J258" s="88">
        <f t="shared" ref="J258:Y258" si="35">J254 * (1 - J256)</f>
        <v>10435.90163289892</v>
      </c>
      <c r="K258" s="88">
        <f t="shared" si="35"/>
        <v>0</v>
      </c>
      <c r="L258" s="88">
        <f t="shared" si="35"/>
        <v>1494.2073928947073</v>
      </c>
      <c r="M258" s="88">
        <f t="shared" si="35"/>
        <v>23.972670845179454</v>
      </c>
      <c r="N258" s="88">
        <f t="shared" si="35"/>
        <v>3382.9953625260482</v>
      </c>
      <c r="O258" s="88">
        <f t="shared" si="35"/>
        <v>0</v>
      </c>
      <c r="P258" s="88">
        <f t="shared" si="35"/>
        <v>0</v>
      </c>
      <c r="Q258" s="88">
        <f t="shared" si="35"/>
        <v>19.263797338252196</v>
      </c>
      <c r="R258" s="88">
        <f t="shared" si="35"/>
        <v>21.694000000000003</v>
      </c>
      <c r="S258" s="88">
        <f t="shared" si="35"/>
        <v>0</v>
      </c>
      <c r="T258" s="88">
        <f t="shared" si="35"/>
        <v>2.7059999999999991</v>
      </c>
      <c r="U258" s="88">
        <f t="shared" si="35"/>
        <v>0</v>
      </c>
      <c r="V258" s="88">
        <f t="shared" si="35"/>
        <v>0</v>
      </c>
      <c r="W258" s="88">
        <f t="shared" si="35"/>
        <v>0</v>
      </c>
      <c r="X258" s="88">
        <f t="shared" si="35"/>
        <v>0</v>
      </c>
      <c r="Y258" s="88">
        <f t="shared" si="35"/>
        <v>0</v>
      </c>
      <c r="AQ258" s="3"/>
    </row>
    <row r="259" spans="5:43" x14ac:dyDescent="0.35">
      <c r="F259" s="57" t="s">
        <v>452</v>
      </c>
      <c r="G259" s="57" t="s">
        <v>207</v>
      </c>
      <c r="H259" s="28"/>
      <c r="I259" s="28"/>
      <c r="J259" s="90">
        <f t="shared" ref="J259:Y259" si="36">J255 * (1 - J257)</f>
        <v>25257.562899516255</v>
      </c>
      <c r="K259" s="90">
        <f t="shared" si="36"/>
        <v>265.66380077746078</v>
      </c>
      <c r="L259" s="90">
        <f t="shared" si="36"/>
        <v>2729.7648031487652</v>
      </c>
      <c r="M259" s="90">
        <f t="shared" si="36"/>
        <v>38.901090710014579</v>
      </c>
      <c r="N259" s="90">
        <f t="shared" si="36"/>
        <v>20094.891066562352</v>
      </c>
      <c r="O259" s="90">
        <f t="shared" si="36"/>
        <v>4143.1849164353825</v>
      </c>
      <c r="P259" s="90">
        <f t="shared" si="36"/>
        <v>7968.0175855075149</v>
      </c>
      <c r="Q259" s="90">
        <f t="shared" si="36"/>
        <v>184.92018545297606</v>
      </c>
      <c r="R259" s="90">
        <f t="shared" si="36"/>
        <v>0.28999999999999998</v>
      </c>
      <c r="S259" s="90">
        <f t="shared" si="36"/>
        <v>0</v>
      </c>
      <c r="T259" s="90">
        <f t="shared" si="36"/>
        <v>2767.2356585674361</v>
      </c>
      <c r="U259" s="90">
        <f t="shared" si="36"/>
        <v>0</v>
      </c>
      <c r="V259" s="90">
        <f t="shared" si="36"/>
        <v>0</v>
      </c>
      <c r="W259" s="90">
        <f t="shared" si="36"/>
        <v>0</v>
      </c>
      <c r="X259" s="90">
        <f t="shared" si="36"/>
        <v>72.935642648769161</v>
      </c>
      <c r="Y259" s="90">
        <f t="shared" si="36"/>
        <v>0</v>
      </c>
      <c r="AQ259" s="3"/>
    </row>
    <row r="260" spans="5:43" x14ac:dyDescent="0.35">
      <c r="F260" s="23" t="s">
        <v>453</v>
      </c>
      <c r="G260" s="23" t="s">
        <v>207</v>
      </c>
      <c r="J260" s="111">
        <f t="shared" ref="J260:Y260" si="37">J253 + J258 + J259</f>
        <v>2888603.6716125715</v>
      </c>
      <c r="K260" s="111">
        <f t="shared" si="37"/>
        <v>91372.316099402669</v>
      </c>
      <c r="L260" s="111">
        <f t="shared" si="37"/>
        <v>922830.31988349603</v>
      </c>
      <c r="M260" s="111">
        <f t="shared" si="37"/>
        <v>25560.92942792672</v>
      </c>
      <c r="N260" s="111">
        <f t="shared" si="37"/>
        <v>1606447.8189767241</v>
      </c>
      <c r="O260" s="111">
        <f t="shared" si="37"/>
        <v>112066.97919290072</v>
      </c>
      <c r="P260" s="111">
        <f t="shared" si="37"/>
        <v>1478741.4093654291</v>
      </c>
      <c r="Q260" s="111">
        <f t="shared" si="37"/>
        <v>107386.00037173675</v>
      </c>
      <c r="R260" s="111">
        <f t="shared" si="37"/>
        <v>812.69199999999978</v>
      </c>
      <c r="S260" s="111">
        <f t="shared" si="37"/>
        <v>24.104999999999997</v>
      </c>
      <c r="T260" s="111">
        <f t="shared" si="37"/>
        <v>11217.299058567434</v>
      </c>
      <c r="U260" s="111">
        <f t="shared" si="37"/>
        <v>0</v>
      </c>
      <c r="V260" s="111">
        <f t="shared" si="37"/>
        <v>0</v>
      </c>
      <c r="W260" s="111">
        <f t="shared" si="37"/>
        <v>0</v>
      </c>
      <c r="X260" s="111">
        <f t="shared" si="37"/>
        <v>252499.59274264879</v>
      </c>
      <c r="Y260" s="111">
        <f t="shared" si="37"/>
        <v>0</v>
      </c>
      <c r="AQ260" s="3"/>
    </row>
    <row r="261" spans="5:43" x14ac:dyDescent="0.35">
      <c r="E261" s="27"/>
      <c r="J261" s="79"/>
      <c r="K261" s="79"/>
      <c r="L261" s="79"/>
      <c r="M261" s="79"/>
      <c r="N261" s="79"/>
      <c r="O261" s="79"/>
      <c r="P261" s="79"/>
      <c r="Q261" s="79"/>
      <c r="R261" s="79"/>
      <c r="S261" s="79"/>
      <c r="T261" s="79"/>
      <c r="U261" s="79"/>
      <c r="V261" s="79"/>
      <c r="W261" s="79"/>
      <c r="X261" s="79"/>
      <c r="Y261" s="79"/>
      <c r="AQ261" s="3"/>
    </row>
    <row r="262" spans="5:43" x14ac:dyDescent="0.35">
      <c r="E262" s="27" t="s">
        <v>454</v>
      </c>
      <c r="I262" t="s">
        <v>154</v>
      </c>
      <c r="J262" s="79"/>
      <c r="K262" s="79"/>
      <c r="L262" s="79"/>
      <c r="M262" s="79"/>
      <c r="N262" s="79"/>
      <c r="O262" s="79"/>
      <c r="P262" s="79"/>
      <c r="Q262" s="79"/>
      <c r="R262" s="79"/>
      <c r="S262" s="79"/>
      <c r="T262" s="79"/>
      <c r="U262" s="79"/>
      <c r="V262" s="79"/>
      <c r="W262" s="79"/>
      <c r="X262" s="79"/>
      <c r="Y262" s="79"/>
      <c r="AQ262" s="3"/>
    </row>
    <row r="263" spans="5:43" x14ac:dyDescent="0.35">
      <c r="E263" s="27"/>
      <c r="J263" s="79"/>
      <c r="K263" s="79"/>
      <c r="L263" s="79"/>
      <c r="M263" s="79"/>
      <c r="N263" s="79"/>
      <c r="O263" s="79"/>
      <c r="P263" s="79"/>
      <c r="Q263" s="79"/>
      <c r="R263" s="79"/>
      <c r="S263" s="79"/>
      <c r="T263" s="79"/>
      <c r="U263" s="79"/>
      <c r="V263" s="79"/>
      <c r="W263" s="79"/>
      <c r="X263" s="79"/>
      <c r="Y263" s="79"/>
      <c r="AQ263" s="3"/>
    </row>
    <row r="264" spans="5:43" x14ac:dyDescent="0.35">
      <c r="F264" s="23" t="s">
        <v>453</v>
      </c>
      <c r="G264" s="23" t="s">
        <v>207</v>
      </c>
      <c r="J264" s="88">
        <f t="shared" ref="J264:Y264" si="38">J260 + J249 + J238</f>
        <v>9328991.7077366151</v>
      </c>
      <c r="K264" s="88">
        <f t="shared" si="38"/>
        <v>129251.33494997758</v>
      </c>
      <c r="L264" s="88">
        <f t="shared" si="38"/>
        <v>3167716.9609553199</v>
      </c>
      <c r="M264" s="88">
        <f t="shared" si="38"/>
        <v>34108.866498889452</v>
      </c>
      <c r="N264" s="88">
        <f t="shared" si="38"/>
        <v>5034209.0673163561</v>
      </c>
      <c r="O264" s="88">
        <f t="shared" si="38"/>
        <v>312324.59871463908</v>
      </c>
      <c r="P264" s="88">
        <f t="shared" si="38"/>
        <v>4005844.4470879724</v>
      </c>
      <c r="Q264" s="88">
        <f t="shared" si="38"/>
        <v>185474.35808205561</v>
      </c>
      <c r="R264" s="88">
        <f t="shared" si="38"/>
        <v>9853.9</v>
      </c>
      <c r="S264" s="88">
        <f t="shared" si="38"/>
        <v>229.69699999999997</v>
      </c>
      <c r="T264" s="88">
        <f t="shared" si="38"/>
        <v>52430.946541874546</v>
      </c>
      <c r="U264" s="88">
        <f t="shared" si="38"/>
        <v>0</v>
      </c>
      <c r="V264" s="88">
        <f t="shared" si="38"/>
        <v>0</v>
      </c>
      <c r="W264" s="88">
        <f t="shared" si="38"/>
        <v>0</v>
      </c>
      <c r="X264" s="88">
        <f t="shared" si="38"/>
        <v>868285.21715778869</v>
      </c>
      <c r="Y264" s="88">
        <f t="shared" si="38"/>
        <v>0</v>
      </c>
      <c r="AQ264" s="3"/>
    </row>
    <row r="265" spans="5:43" x14ac:dyDescent="0.35">
      <c r="E265" s="27"/>
      <c r="J265" s="79"/>
      <c r="K265" s="79"/>
      <c r="L265" s="79"/>
      <c r="M265" s="79"/>
      <c r="N265" s="79"/>
      <c r="O265" s="79"/>
      <c r="P265" s="79"/>
      <c r="Q265" s="79"/>
      <c r="R265" s="79"/>
      <c r="S265" s="79"/>
      <c r="T265" s="79"/>
      <c r="U265" s="79"/>
      <c r="V265" s="79"/>
      <c r="W265" s="79"/>
      <c r="X265" s="79"/>
      <c r="Y265" s="79"/>
      <c r="AQ265" s="3"/>
    </row>
    <row r="266" spans="5:43" x14ac:dyDescent="0.35">
      <c r="E266" s="27" t="s">
        <v>212</v>
      </c>
      <c r="I266" t="s">
        <v>154</v>
      </c>
      <c r="J266" s="79"/>
      <c r="K266" s="79"/>
      <c r="L266" s="79"/>
      <c r="M266" s="79"/>
      <c r="N266" s="79"/>
      <c r="O266" s="79"/>
      <c r="P266" s="79"/>
      <c r="Q266" s="79"/>
      <c r="R266" s="79"/>
      <c r="S266" s="79"/>
      <c r="T266" s="79"/>
      <c r="U266" s="79"/>
      <c r="V266" s="79"/>
      <c r="W266" s="79"/>
      <c r="X266" s="79"/>
      <c r="Y266" s="79"/>
      <c r="AA266" t="s">
        <v>309</v>
      </c>
      <c r="AQ266" s="3"/>
    </row>
    <row r="267" spans="5:43" x14ac:dyDescent="0.35">
      <c r="E267" s="27"/>
      <c r="J267" s="79"/>
      <c r="K267" s="79"/>
      <c r="L267" s="79"/>
      <c r="M267" s="79"/>
      <c r="N267" s="79"/>
      <c r="O267" s="79"/>
      <c r="P267" s="79"/>
      <c r="Q267" s="79"/>
      <c r="R267" s="79"/>
      <c r="S267" s="79"/>
      <c r="T267" s="79"/>
      <c r="U267" s="79"/>
      <c r="V267" s="79"/>
      <c r="W267" s="79"/>
      <c r="X267" s="79"/>
      <c r="Y267" s="79"/>
      <c r="AQ267" s="3"/>
    </row>
    <row r="268" spans="5:43" x14ac:dyDescent="0.35">
      <c r="F268" s="23" t="s">
        <v>446</v>
      </c>
      <c r="G268" s="23" t="s">
        <v>212</v>
      </c>
      <c r="J268" s="88">
        <f t="shared" ref="J268:Y268" si="39">J202</f>
        <v>2883067.3258877532</v>
      </c>
      <c r="K268" s="88">
        <f t="shared" si="39"/>
        <v>30229.440258963554</v>
      </c>
      <c r="L268" s="88">
        <f t="shared" si="39"/>
        <v>227480.52314729209</v>
      </c>
      <c r="M268" s="88">
        <f t="shared" si="39"/>
        <v>4514.9354838709687</v>
      </c>
      <c r="N268" s="88">
        <f t="shared" si="39"/>
        <v>22893.354838709674</v>
      </c>
      <c r="O268" s="88">
        <f t="shared" si="39"/>
        <v>299.45161290322585</v>
      </c>
      <c r="P268" s="88">
        <f t="shared" si="39"/>
        <v>1841.9429487129253</v>
      </c>
      <c r="Q268" s="88">
        <f t="shared" si="39"/>
        <v>3978.3387096774172</v>
      </c>
      <c r="R268" s="88">
        <f t="shared" si="39"/>
        <v>8349.9354838709678</v>
      </c>
      <c r="S268" s="88">
        <f t="shared" si="39"/>
        <v>39</v>
      </c>
      <c r="T268" s="88">
        <f t="shared" si="39"/>
        <v>838.90322580645136</v>
      </c>
      <c r="U268" s="88">
        <f t="shared" si="39"/>
        <v>0</v>
      </c>
      <c r="V268" s="88">
        <f t="shared" si="39"/>
        <v>1</v>
      </c>
      <c r="W268" s="88">
        <f t="shared" si="39"/>
        <v>0</v>
      </c>
      <c r="X268" s="88">
        <f t="shared" si="39"/>
        <v>234.29032258064521</v>
      </c>
      <c r="Y268" s="88">
        <f t="shared" si="39"/>
        <v>0</v>
      </c>
      <c r="AQ268" s="3"/>
    </row>
    <row r="269" spans="5:43" x14ac:dyDescent="0.35">
      <c r="F269" s="23" t="s">
        <v>447</v>
      </c>
      <c r="G269" s="23" t="s">
        <v>212</v>
      </c>
      <c r="J269" s="88">
        <f t="shared" ref="J269:Y269" si="40">J211</f>
        <v>34816.432226804616</v>
      </c>
      <c r="K269" s="88">
        <f t="shared" si="40"/>
        <v>0</v>
      </c>
      <c r="L269" s="88">
        <f t="shared" si="40"/>
        <v>976.90185445198563</v>
      </c>
      <c r="M269" s="88">
        <f t="shared" si="40"/>
        <v>3.0357142857142851</v>
      </c>
      <c r="N269" s="88">
        <f t="shared" si="40"/>
        <v>219.11290322580646</v>
      </c>
      <c r="O269" s="88">
        <f t="shared" si="40"/>
        <v>0</v>
      </c>
      <c r="P269" s="88">
        <f t="shared" si="40"/>
        <v>0</v>
      </c>
      <c r="Q269" s="88">
        <f t="shared" si="40"/>
        <v>71</v>
      </c>
      <c r="R269" s="88">
        <f t="shared" si="40"/>
        <v>104.41935483870968</v>
      </c>
      <c r="S269" s="88">
        <f t="shared" si="40"/>
        <v>0</v>
      </c>
      <c r="T269" s="88">
        <f t="shared" si="40"/>
        <v>1</v>
      </c>
      <c r="U269" s="88">
        <f t="shared" si="40"/>
        <v>0</v>
      </c>
      <c r="V269" s="88">
        <f t="shared" si="40"/>
        <v>0</v>
      </c>
      <c r="W269" s="88">
        <f t="shared" si="40"/>
        <v>0</v>
      </c>
      <c r="X269" s="88">
        <f t="shared" si="40"/>
        <v>0</v>
      </c>
      <c r="Y269" s="88">
        <f t="shared" si="40"/>
        <v>0</v>
      </c>
      <c r="AQ269" s="3"/>
    </row>
    <row r="270" spans="5:43" x14ac:dyDescent="0.35">
      <c r="F270" s="23" t="s">
        <v>448</v>
      </c>
      <c r="G270" s="23" t="s">
        <v>212</v>
      </c>
      <c r="J270" s="88">
        <f t="shared" ref="J270:Y270" si="41">J220</f>
        <v>128781.76565790082</v>
      </c>
      <c r="K270" s="88">
        <f t="shared" si="41"/>
        <v>533.5</v>
      </c>
      <c r="L270" s="88">
        <f t="shared" si="41"/>
        <v>3104.1898697306642</v>
      </c>
      <c r="M270" s="88">
        <f t="shared" si="41"/>
        <v>0</v>
      </c>
      <c r="N270" s="88">
        <f t="shared" si="41"/>
        <v>799.38978217904832</v>
      </c>
      <c r="O270" s="88">
        <f t="shared" si="41"/>
        <v>66.338709677419359</v>
      </c>
      <c r="P270" s="88">
        <f t="shared" si="41"/>
        <v>17</v>
      </c>
      <c r="Q270" s="88">
        <f t="shared" si="41"/>
        <v>266.64516129032251</v>
      </c>
      <c r="R270" s="88">
        <f t="shared" si="41"/>
        <v>1</v>
      </c>
      <c r="S270" s="88">
        <f t="shared" si="41"/>
        <v>1</v>
      </c>
      <c r="T270" s="88">
        <f t="shared" si="41"/>
        <v>0</v>
      </c>
      <c r="U270" s="88">
        <f t="shared" si="41"/>
        <v>0</v>
      </c>
      <c r="V270" s="88">
        <f t="shared" si="41"/>
        <v>0</v>
      </c>
      <c r="W270" s="88">
        <f t="shared" si="41"/>
        <v>0</v>
      </c>
      <c r="X270" s="88">
        <f t="shared" si="41"/>
        <v>0</v>
      </c>
      <c r="Y270" s="88">
        <f t="shared" si="41"/>
        <v>0</v>
      </c>
      <c r="AQ270" s="3"/>
    </row>
    <row r="271" spans="5:43" x14ac:dyDescent="0.35">
      <c r="F271" s="23" t="s">
        <v>449</v>
      </c>
      <c r="G271" s="23" t="s">
        <v>167</v>
      </c>
      <c r="J271" s="363">
        <f t="shared" ref="J271:Y271" si="42">IF(J$40, J$46, J$34)</f>
        <v>0.37097391060683016</v>
      </c>
      <c r="K271" s="363">
        <f t="shared" si="42"/>
        <v>0.37097391060683016</v>
      </c>
      <c r="L271" s="363">
        <f t="shared" si="42"/>
        <v>0.37097391060683016</v>
      </c>
      <c r="M271" s="363">
        <f t="shared" si="42"/>
        <v>0.37097391060683016</v>
      </c>
      <c r="N271" s="363">
        <f t="shared" si="42"/>
        <v>0.37097391060683016</v>
      </c>
      <c r="O271" s="363">
        <f t="shared" si="42"/>
        <v>0</v>
      </c>
      <c r="P271" s="363">
        <f t="shared" si="42"/>
        <v>0</v>
      </c>
      <c r="Q271" s="363">
        <f t="shared" si="42"/>
        <v>0.37097391060683016</v>
      </c>
      <c r="R271" s="363">
        <f t="shared" si="42"/>
        <v>1</v>
      </c>
      <c r="S271" s="363">
        <f t="shared" si="42"/>
        <v>1</v>
      </c>
      <c r="T271" s="363">
        <f t="shared" si="42"/>
        <v>1</v>
      </c>
      <c r="U271" s="363">
        <f t="shared" si="42"/>
        <v>1</v>
      </c>
      <c r="V271" s="363">
        <f t="shared" si="42"/>
        <v>1</v>
      </c>
      <c r="W271" s="363">
        <f t="shared" si="42"/>
        <v>1</v>
      </c>
      <c r="X271" s="363">
        <f t="shared" si="42"/>
        <v>1</v>
      </c>
      <c r="Y271" s="363">
        <f t="shared" si="42"/>
        <v>1</v>
      </c>
      <c r="AQ271" s="3"/>
    </row>
    <row r="272" spans="5:43" x14ac:dyDescent="0.35">
      <c r="F272" s="23" t="s">
        <v>450</v>
      </c>
      <c r="G272" s="23" t="s">
        <v>167</v>
      </c>
      <c r="J272" s="363">
        <f t="shared" ref="J272:Y272" si="43">IF(J$40, J$46, J$35)</f>
        <v>0.54529202281657996</v>
      </c>
      <c r="K272" s="363">
        <f t="shared" si="43"/>
        <v>0.54529202281657996</v>
      </c>
      <c r="L272" s="363">
        <f t="shared" si="43"/>
        <v>0.54529202281657996</v>
      </c>
      <c r="M272" s="363">
        <f t="shared" si="43"/>
        <v>0.54529202281657996</v>
      </c>
      <c r="N272" s="363">
        <f t="shared" si="43"/>
        <v>0.54529202281657996</v>
      </c>
      <c r="O272" s="363">
        <f t="shared" si="43"/>
        <v>0.25951924258539139</v>
      </c>
      <c r="P272" s="363">
        <f t="shared" si="43"/>
        <v>0.15142745426120777</v>
      </c>
      <c r="Q272" s="363">
        <f t="shared" si="43"/>
        <v>0.54529202281657996</v>
      </c>
      <c r="R272" s="363">
        <f t="shared" si="43"/>
        <v>1</v>
      </c>
      <c r="S272" s="363">
        <f t="shared" si="43"/>
        <v>1</v>
      </c>
      <c r="T272" s="363">
        <f t="shared" si="43"/>
        <v>1</v>
      </c>
      <c r="U272" s="363">
        <f t="shared" si="43"/>
        <v>1</v>
      </c>
      <c r="V272" s="363">
        <f t="shared" si="43"/>
        <v>1</v>
      </c>
      <c r="W272" s="363">
        <f t="shared" si="43"/>
        <v>1</v>
      </c>
      <c r="X272" s="363">
        <f t="shared" si="43"/>
        <v>1</v>
      </c>
      <c r="Y272" s="363">
        <f t="shared" si="43"/>
        <v>1</v>
      </c>
      <c r="AQ272" s="3"/>
    </row>
    <row r="273" spans="5:43" x14ac:dyDescent="0.35">
      <c r="F273" s="23" t="s">
        <v>451</v>
      </c>
      <c r="G273" s="23" t="s">
        <v>212</v>
      </c>
      <c r="J273" s="88">
        <f t="shared" ref="J273:Y273" si="44">J269 * (1 - J271)</f>
        <v>21900.444210249239</v>
      </c>
      <c r="K273" s="88">
        <f t="shared" si="44"/>
        <v>0</v>
      </c>
      <c r="L273" s="88">
        <f t="shared" si="44"/>
        <v>614.49675322686812</v>
      </c>
      <c r="M273" s="88">
        <f t="shared" si="44"/>
        <v>1.9095434856578366</v>
      </c>
      <c r="N273" s="88">
        <f t="shared" si="44"/>
        <v>137.82773265171312</v>
      </c>
      <c r="O273" s="88">
        <f t="shared" si="44"/>
        <v>0</v>
      </c>
      <c r="P273" s="88">
        <f t="shared" si="44"/>
        <v>0</v>
      </c>
      <c r="Q273" s="88">
        <f t="shared" si="44"/>
        <v>44.660852346915057</v>
      </c>
      <c r="R273" s="88">
        <f t="shared" si="44"/>
        <v>0</v>
      </c>
      <c r="S273" s="88">
        <f t="shared" si="44"/>
        <v>0</v>
      </c>
      <c r="T273" s="88">
        <f t="shared" si="44"/>
        <v>0</v>
      </c>
      <c r="U273" s="88">
        <f t="shared" si="44"/>
        <v>0</v>
      </c>
      <c r="V273" s="88">
        <f t="shared" si="44"/>
        <v>0</v>
      </c>
      <c r="W273" s="88">
        <f t="shared" si="44"/>
        <v>0</v>
      </c>
      <c r="X273" s="88">
        <f t="shared" si="44"/>
        <v>0</v>
      </c>
      <c r="Y273" s="88">
        <f t="shared" si="44"/>
        <v>0</v>
      </c>
      <c r="AQ273" s="3"/>
    </row>
    <row r="274" spans="5:43" x14ac:dyDescent="0.35">
      <c r="F274" s="57" t="s">
        <v>452</v>
      </c>
      <c r="G274" s="57" t="s">
        <v>212</v>
      </c>
      <c r="H274" s="28"/>
      <c r="I274" s="28"/>
      <c r="J274" s="90">
        <f t="shared" ref="J274:Y274" si="45">J270 * (1 - J272)</f>
        <v>58558.096160413312</v>
      </c>
      <c r="K274" s="90">
        <f t="shared" si="45"/>
        <v>242.58670582735459</v>
      </c>
      <c r="L274" s="90">
        <f t="shared" si="45"/>
        <v>1411.4998964584945</v>
      </c>
      <c r="M274" s="90">
        <f t="shared" si="45"/>
        <v>0</v>
      </c>
      <c r="N274" s="90">
        <f t="shared" si="45"/>
        <v>363.48891083572983</v>
      </c>
      <c r="O274" s="90">
        <f t="shared" si="45"/>
        <v>49.122537987843316</v>
      </c>
      <c r="P274" s="90">
        <f t="shared" si="45"/>
        <v>14.425733277559468</v>
      </c>
      <c r="Q274" s="90">
        <f t="shared" si="45"/>
        <v>121.24568191606933</v>
      </c>
      <c r="R274" s="90">
        <f t="shared" si="45"/>
        <v>0</v>
      </c>
      <c r="S274" s="90">
        <f t="shared" si="45"/>
        <v>0</v>
      </c>
      <c r="T274" s="90">
        <f t="shared" si="45"/>
        <v>0</v>
      </c>
      <c r="U274" s="90">
        <f t="shared" si="45"/>
        <v>0</v>
      </c>
      <c r="V274" s="90">
        <f t="shared" si="45"/>
        <v>0</v>
      </c>
      <c r="W274" s="90">
        <f t="shared" si="45"/>
        <v>0</v>
      </c>
      <c r="X274" s="90">
        <f t="shared" si="45"/>
        <v>0</v>
      </c>
      <c r="Y274" s="90">
        <f t="shared" si="45"/>
        <v>0</v>
      </c>
      <c r="AQ274" s="3"/>
    </row>
    <row r="275" spans="5:43" x14ac:dyDescent="0.35">
      <c r="F275" s="23" t="s">
        <v>453</v>
      </c>
      <c r="G275" s="23" t="s">
        <v>212</v>
      </c>
      <c r="J275" s="111">
        <f t="shared" ref="J275:Y275" si="46">J268 + J273 + J274</f>
        <v>2963525.8662584159</v>
      </c>
      <c r="K275" s="111">
        <f t="shared" si="46"/>
        <v>30472.026964790908</v>
      </c>
      <c r="L275" s="111">
        <f t="shared" si="46"/>
        <v>229506.51979697746</v>
      </c>
      <c r="M275" s="111">
        <f t="shared" si="46"/>
        <v>4516.8450273566268</v>
      </c>
      <c r="N275" s="111">
        <f t="shared" si="46"/>
        <v>23394.671482197118</v>
      </c>
      <c r="O275" s="111">
        <f t="shared" si="46"/>
        <v>348.57415089106917</v>
      </c>
      <c r="P275" s="111">
        <f t="shared" si="46"/>
        <v>1856.3686819904847</v>
      </c>
      <c r="Q275" s="111">
        <f t="shared" si="46"/>
        <v>4144.2452439404015</v>
      </c>
      <c r="R275" s="111">
        <f t="shared" si="46"/>
        <v>8349.9354838709678</v>
      </c>
      <c r="S275" s="111">
        <f t="shared" si="46"/>
        <v>39</v>
      </c>
      <c r="T275" s="111">
        <f t="shared" si="46"/>
        <v>838.90322580645136</v>
      </c>
      <c r="U275" s="111">
        <f t="shared" si="46"/>
        <v>0</v>
      </c>
      <c r="V275" s="111">
        <f t="shared" si="46"/>
        <v>1</v>
      </c>
      <c r="W275" s="111">
        <f t="shared" si="46"/>
        <v>0</v>
      </c>
      <c r="X275" s="111">
        <f t="shared" si="46"/>
        <v>234.29032258064521</v>
      </c>
      <c r="Y275" s="111">
        <f t="shared" si="46"/>
        <v>0</v>
      </c>
      <c r="AQ275" s="3"/>
    </row>
    <row r="276" spans="5:43" x14ac:dyDescent="0.35">
      <c r="E276" s="27"/>
      <c r="J276" s="79"/>
      <c r="K276" s="79"/>
      <c r="L276" s="79"/>
      <c r="M276" s="79"/>
      <c r="N276" s="79"/>
      <c r="O276" s="79"/>
      <c r="P276" s="79"/>
      <c r="Q276" s="79"/>
      <c r="R276" s="79"/>
      <c r="S276" s="79"/>
      <c r="T276" s="79"/>
      <c r="U276" s="79"/>
      <c r="V276" s="79"/>
      <c r="W276" s="79"/>
      <c r="X276" s="79"/>
      <c r="Y276" s="79"/>
      <c r="AQ276" s="3"/>
    </row>
    <row r="277" spans="5:43" x14ac:dyDescent="0.35">
      <c r="E277" s="27" t="s">
        <v>250</v>
      </c>
      <c r="I277" t="s">
        <v>154</v>
      </c>
      <c r="J277" s="79"/>
      <c r="K277" s="79"/>
      <c r="L277" s="79"/>
      <c r="M277" s="79"/>
      <c r="N277" s="79"/>
      <c r="O277" s="79"/>
      <c r="P277" s="79"/>
      <c r="Q277" s="79"/>
      <c r="R277" s="79"/>
      <c r="S277" s="79"/>
      <c r="T277" s="79"/>
      <c r="U277" s="79"/>
      <c r="V277" s="79"/>
      <c r="W277" s="79"/>
      <c r="X277" s="79"/>
      <c r="Y277" s="79"/>
      <c r="AA277" t="s">
        <v>309</v>
      </c>
      <c r="AQ277" s="3"/>
    </row>
    <row r="278" spans="5:43" x14ac:dyDescent="0.35">
      <c r="E278" s="27"/>
      <c r="J278" s="79"/>
      <c r="K278" s="79"/>
      <c r="L278" s="79"/>
      <c r="M278" s="79"/>
      <c r="N278" s="79"/>
      <c r="O278" s="79"/>
      <c r="P278" s="79"/>
      <c r="Q278" s="79"/>
      <c r="R278" s="79"/>
      <c r="S278" s="79"/>
      <c r="T278" s="79"/>
      <c r="U278" s="79"/>
      <c r="V278" s="79"/>
      <c r="W278" s="79"/>
      <c r="X278" s="79"/>
      <c r="Y278" s="79"/>
      <c r="AQ278" s="3"/>
    </row>
    <row r="279" spans="5:43" x14ac:dyDescent="0.35">
      <c r="F279" s="23" t="s">
        <v>446</v>
      </c>
      <c r="G279" s="23" t="s">
        <v>251</v>
      </c>
      <c r="J279" s="88">
        <f t="shared" ref="J279:Y279" si="47">J203</f>
        <v>0</v>
      </c>
      <c r="K279" s="88">
        <f t="shared" si="47"/>
        <v>0</v>
      </c>
      <c r="L279" s="88">
        <f t="shared" si="47"/>
        <v>0</v>
      </c>
      <c r="M279" s="88">
        <f t="shared" si="47"/>
        <v>0</v>
      </c>
      <c r="N279" s="88">
        <f t="shared" si="47"/>
        <v>3442489.8885326795</v>
      </c>
      <c r="O279" s="88">
        <f t="shared" si="47"/>
        <v>129521.66082784574</v>
      </c>
      <c r="P279" s="88">
        <f t="shared" si="47"/>
        <v>1958805.6081895947</v>
      </c>
      <c r="Q279" s="88">
        <f t="shared" si="47"/>
        <v>0</v>
      </c>
      <c r="R279" s="88">
        <f t="shared" si="47"/>
        <v>0</v>
      </c>
      <c r="S279" s="88">
        <f t="shared" si="47"/>
        <v>0</v>
      </c>
      <c r="T279" s="88">
        <f t="shared" si="47"/>
        <v>0</v>
      </c>
      <c r="U279" s="88">
        <f t="shared" si="47"/>
        <v>0</v>
      </c>
      <c r="V279" s="88">
        <f t="shared" si="47"/>
        <v>0</v>
      </c>
      <c r="W279" s="88">
        <f t="shared" si="47"/>
        <v>0</v>
      </c>
      <c r="X279" s="88">
        <f t="shared" si="47"/>
        <v>0</v>
      </c>
      <c r="Y279" s="88">
        <f t="shared" si="47"/>
        <v>0</v>
      </c>
      <c r="AQ279" s="3"/>
    </row>
    <row r="280" spans="5:43" x14ac:dyDescent="0.35">
      <c r="F280" s="23" t="s">
        <v>447</v>
      </c>
      <c r="G280" s="23" t="s">
        <v>251</v>
      </c>
      <c r="J280" s="88">
        <f t="shared" ref="J280:Y280" si="48">J212</f>
        <v>0</v>
      </c>
      <c r="K280" s="88">
        <f t="shared" si="48"/>
        <v>0</v>
      </c>
      <c r="L280" s="88">
        <f t="shared" si="48"/>
        <v>0</v>
      </c>
      <c r="M280" s="88">
        <f t="shared" si="48"/>
        <v>0</v>
      </c>
      <c r="N280" s="88">
        <f t="shared" si="48"/>
        <v>35121.839957124001</v>
      </c>
      <c r="O280" s="88">
        <f t="shared" si="48"/>
        <v>0</v>
      </c>
      <c r="P280" s="88">
        <f t="shared" si="48"/>
        <v>0</v>
      </c>
      <c r="Q280" s="88">
        <f t="shared" si="48"/>
        <v>0</v>
      </c>
      <c r="R280" s="88">
        <f t="shared" si="48"/>
        <v>0</v>
      </c>
      <c r="S280" s="88">
        <f t="shared" si="48"/>
        <v>0</v>
      </c>
      <c r="T280" s="88">
        <f t="shared" si="48"/>
        <v>0</v>
      </c>
      <c r="U280" s="88">
        <f t="shared" si="48"/>
        <v>0</v>
      </c>
      <c r="V280" s="88">
        <f t="shared" si="48"/>
        <v>0</v>
      </c>
      <c r="W280" s="88">
        <f t="shared" si="48"/>
        <v>0</v>
      </c>
      <c r="X280" s="88">
        <f t="shared" si="48"/>
        <v>0</v>
      </c>
      <c r="Y280" s="88">
        <f t="shared" si="48"/>
        <v>0</v>
      </c>
      <c r="AQ280" s="3"/>
    </row>
    <row r="281" spans="5:43" x14ac:dyDescent="0.35">
      <c r="F281" s="23" t="s">
        <v>448</v>
      </c>
      <c r="G281" s="23" t="s">
        <v>251</v>
      </c>
      <c r="J281" s="88">
        <f t="shared" ref="J281:Y281" si="49">J221</f>
        <v>0</v>
      </c>
      <c r="K281" s="88">
        <f t="shared" si="49"/>
        <v>0</v>
      </c>
      <c r="L281" s="88">
        <f t="shared" si="49"/>
        <v>0</v>
      </c>
      <c r="M281" s="88">
        <f t="shared" si="49"/>
        <v>0</v>
      </c>
      <c r="N281" s="88">
        <f t="shared" si="49"/>
        <v>184292.91496685037</v>
      </c>
      <c r="O281" s="88">
        <f t="shared" si="49"/>
        <v>39243.842620481912</v>
      </c>
      <c r="P281" s="88">
        <f t="shared" si="49"/>
        <v>20893</v>
      </c>
      <c r="Q281" s="88">
        <f t="shared" si="49"/>
        <v>0</v>
      </c>
      <c r="R281" s="88">
        <f t="shared" si="49"/>
        <v>0</v>
      </c>
      <c r="S281" s="88">
        <f t="shared" si="49"/>
        <v>0</v>
      </c>
      <c r="T281" s="88">
        <f t="shared" si="49"/>
        <v>0</v>
      </c>
      <c r="U281" s="88">
        <f t="shared" si="49"/>
        <v>0</v>
      </c>
      <c r="V281" s="88">
        <f t="shared" si="49"/>
        <v>0</v>
      </c>
      <c r="W281" s="88">
        <f t="shared" si="49"/>
        <v>0</v>
      </c>
      <c r="X281" s="88">
        <f t="shared" si="49"/>
        <v>0</v>
      </c>
      <c r="Y281" s="88">
        <f t="shared" si="49"/>
        <v>0</v>
      </c>
      <c r="AQ281" s="3"/>
    </row>
    <row r="282" spans="5:43" x14ac:dyDescent="0.35">
      <c r="F282" s="23" t="s">
        <v>449</v>
      </c>
      <c r="G282" s="23" t="s">
        <v>167</v>
      </c>
      <c r="J282" s="363">
        <f t="shared" ref="J282:Y282" si="50">IF(J$41, J$47, J$34)</f>
        <v>0.37097391060683016</v>
      </c>
      <c r="K282" s="363">
        <f t="shared" si="50"/>
        <v>0.37097391060683016</v>
      </c>
      <c r="L282" s="363">
        <f t="shared" si="50"/>
        <v>0.37097391060683016</v>
      </c>
      <c r="M282" s="363">
        <f t="shared" si="50"/>
        <v>0.37097391060683016</v>
      </c>
      <c r="N282" s="363">
        <f t="shared" si="50"/>
        <v>0.37097391060683016</v>
      </c>
      <c r="O282" s="363">
        <f t="shared" si="50"/>
        <v>0</v>
      </c>
      <c r="P282" s="363">
        <f t="shared" si="50"/>
        <v>0</v>
      </c>
      <c r="Q282" s="363">
        <f t="shared" si="50"/>
        <v>0.37097391060683016</v>
      </c>
      <c r="R282" s="363">
        <f t="shared" si="50"/>
        <v>0</v>
      </c>
      <c r="S282" s="363">
        <f t="shared" si="50"/>
        <v>0</v>
      </c>
      <c r="T282" s="363">
        <f t="shared" si="50"/>
        <v>0</v>
      </c>
      <c r="U282" s="363">
        <f t="shared" si="50"/>
        <v>0</v>
      </c>
      <c r="V282" s="363">
        <f t="shared" si="50"/>
        <v>0</v>
      </c>
      <c r="W282" s="363">
        <f t="shared" si="50"/>
        <v>0</v>
      </c>
      <c r="X282" s="363">
        <f t="shared" si="50"/>
        <v>0</v>
      </c>
      <c r="Y282" s="363">
        <f t="shared" si="50"/>
        <v>0</v>
      </c>
      <c r="AQ282" s="3"/>
    </row>
    <row r="283" spans="5:43" x14ac:dyDescent="0.35">
      <c r="F283" s="23" t="s">
        <v>450</v>
      </c>
      <c r="G283" s="23" t="s">
        <v>167</v>
      </c>
      <c r="J283" s="363">
        <f t="shared" ref="J283:Y283" si="51">IF(J$41, J$47, J$35)</f>
        <v>0.54529202281657996</v>
      </c>
      <c r="K283" s="363">
        <f t="shared" si="51"/>
        <v>0.54529202281657996</v>
      </c>
      <c r="L283" s="363">
        <f t="shared" si="51"/>
        <v>0.54529202281657996</v>
      </c>
      <c r="M283" s="363">
        <f t="shared" si="51"/>
        <v>0.54529202281657996</v>
      </c>
      <c r="N283" s="363">
        <f t="shared" si="51"/>
        <v>0.54529202281657996</v>
      </c>
      <c r="O283" s="363">
        <f t="shared" si="51"/>
        <v>0.25951924258539139</v>
      </c>
      <c r="P283" s="363">
        <f t="shared" si="51"/>
        <v>0.15142745426120777</v>
      </c>
      <c r="Q283" s="363">
        <f t="shared" si="51"/>
        <v>0.54529202281657996</v>
      </c>
      <c r="R283" s="363">
        <f t="shared" si="51"/>
        <v>0</v>
      </c>
      <c r="S283" s="363">
        <f t="shared" si="51"/>
        <v>0</v>
      </c>
      <c r="T283" s="363">
        <f t="shared" si="51"/>
        <v>0</v>
      </c>
      <c r="U283" s="363">
        <f t="shared" si="51"/>
        <v>0</v>
      </c>
      <c r="V283" s="363">
        <f t="shared" si="51"/>
        <v>0</v>
      </c>
      <c r="W283" s="363">
        <f t="shared" si="51"/>
        <v>0</v>
      </c>
      <c r="X283" s="363">
        <f t="shared" si="51"/>
        <v>0</v>
      </c>
      <c r="Y283" s="363">
        <f t="shared" si="51"/>
        <v>0</v>
      </c>
      <c r="AQ283" s="3"/>
    </row>
    <row r="284" spans="5:43" x14ac:dyDescent="0.35">
      <c r="F284" s="23" t="s">
        <v>451</v>
      </c>
      <c r="G284" s="23" t="s">
        <v>251</v>
      </c>
      <c r="J284" s="88">
        <f t="shared" ref="J284:Y284" si="52">J280 * (1 - J282)</f>
        <v>0</v>
      </c>
      <c r="K284" s="88">
        <f t="shared" si="52"/>
        <v>0</v>
      </c>
      <c r="L284" s="88">
        <f t="shared" si="52"/>
        <v>0</v>
      </c>
      <c r="M284" s="88">
        <f t="shared" si="52"/>
        <v>0</v>
      </c>
      <c r="N284" s="88">
        <f t="shared" si="52"/>
        <v>22092.553640522485</v>
      </c>
      <c r="O284" s="88">
        <f t="shared" si="52"/>
        <v>0</v>
      </c>
      <c r="P284" s="88">
        <f t="shared" si="52"/>
        <v>0</v>
      </c>
      <c r="Q284" s="88">
        <f t="shared" si="52"/>
        <v>0</v>
      </c>
      <c r="R284" s="88">
        <f t="shared" si="52"/>
        <v>0</v>
      </c>
      <c r="S284" s="88">
        <f t="shared" si="52"/>
        <v>0</v>
      </c>
      <c r="T284" s="88">
        <f t="shared" si="52"/>
        <v>0</v>
      </c>
      <c r="U284" s="88">
        <f t="shared" si="52"/>
        <v>0</v>
      </c>
      <c r="V284" s="88">
        <f t="shared" si="52"/>
        <v>0</v>
      </c>
      <c r="W284" s="88">
        <f t="shared" si="52"/>
        <v>0</v>
      </c>
      <c r="X284" s="88">
        <f t="shared" si="52"/>
        <v>0</v>
      </c>
      <c r="Y284" s="88">
        <f t="shared" si="52"/>
        <v>0</v>
      </c>
      <c r="AQ284" s="3"/>
    </row>
    <row r="285" spans="5:43" x14ac:dyDescent="0.35">
      <c r="F285" s="57" t="s">
        <v>452</v>
      </c>
      <c r="G285" s="57" t="s">
        <v>251</v>
      </c>
      <c r="H285" s="28"/>
      <c r="I285" s="28"/>
      <c r="J285" s="90">
        <f t="shared" ref="J285:Y285" si="53">J281 * (1 - J283)</f>
        <v>0</v>
      </c>
      <c r="K285" s="90">
        <f t="shared" si="53"/>
        <v>0</v>
      </c>
      <c r="L285" s="90">
        <f t="shared" si="53"/>
        <v>0</v>
      </c>
      <c r="M285" s="90">
        <f t="shared" si="53"/>
        <v>0</v>
      </c>
      <c r="N285" s="90">
        <f t="shared" si="53"/>
        <v>83799.458573812561</v>
      </c>
      <c r="O285" s="90">
        <f t="shared" si="53"/>
        <v>29059.310307474145</v>
      </c>
      <c r="P285" s="90">
        <f t="shared" si="53"/>
        <v>17729.226198120588</v>
      </c>
      <c r="Q285" s="90">
        <f t="shared" si="53"/>
        <v>0</v>
      </c>
      <c r="R285" s="90">
        <f t="shared" si="53"/>
        <v>0</v>
      </c>
      <c r="S285" s="90">
        <f t="shared" si="53"/>
        <v>0</v>
      </c>
      <c r="T285" s="90">
        <f t="shared" si="53"/>
        <v>0</v>
      </c>
      <c r="U285" s="90">
        <f t="shared" si="53"/>
        <v>0</v>
      </c>
      <c r="V285" s="90">
        <f t="shared" si="53"/>
        <v>0</v>
      </c>
      <c r="W285" s="90">
        <f t="shared" si="53"/>
        <v>0</v>
      </c>
      <c r="X285" s="90">
        <f t="shared" si="53"/>
        <v>0</v>
      </c>
      <c r="Y285" s="90">
        <f t="shared" si="53"/>
        <v>0</v>
      </c>
      <c r="AQ285" s="3"/>
    </row>
    <row r="286" spans="5:43" x14ac:dyDescent="0.35">
      <c r="F286" s="23" t="s">
        <v>453</v>
      </c>
      <c r="G286" s="23" t="s">
        <v>251</v>
      </c>
      <c r="J286" s="111">
        <f t="shared" ref="J286:Y286" si="54">J279 + J284 + J285</f>
        <v>0</v>
      </c>
      <c r="K286" s="111">
        <f t="shared" si="54"/>
        <v>0</v>
      </c>
      <c r="L286" s="111">
        <f t="shared" si="54"/>
        <v>0</v>
      </c>
      <c r="M286" s="111">
        <f t="shared" si="54"/>
        <v>0</v>
      </c>
      <c r="N286" s="111">
        <f t="shared" si="54"/>
        <v>3548381.9007470147</v>
      </c>
      <c r="O286" s="111">
        <f t="shared" si="54"/>
        <v>158580.97113531988</v>
      </c>
      <c r="P286" s="111">
        <f t="shared" si="54"/>
        <v>1976534.8343877152</v>
      </c>
      <c r="Q286" s="111">
        <f t="shared" si="54"/>
        <v>0</v>
      </c>
      <c r="R286" s="111">
        <f t="shared" si="54"/>
        <v>0</v>
      </c>
      <c r="S286" s="111">
        <f t="shared" si="54"/>
        <v>0</v>
      </c>
      <c r="T286" s="111">
        <f t="shared" si="54"/>
        <v>0</v>
      </c>
      <c r="U286" s="111">
        <f t="shared" si="54"/>
        <v>0</v>
      </c>
      <c r="V286" s="111">
        <f t="shared" si="54"/>
        <v>0</v>
      </c>
      <c r="W286" s="111">
        <f t="shared" si="54"/>
        <v>0</v>
      </c>
      <c r="X286" s="111">
        <f t="shared" si="54"/>
        <v>0</v>
      </c>
      <c r="Y286" s="111">
        <f t="shared" si="54"/>
        <v>0</v>
      </c>
      <c r="AQ286" s="3"/>
    </row>
    <row r="287" spans="5:43" x14ac:dyDescent="0.35">
      <c r="E287" s="27"/>
      <c r="J287" s="79"/>
      <c r="K287" s="79"/>
      <c r="L287" s="79"/>
      <c r="M287" s="79"/>
      <c r="N287" s="79"/>
      <c r="O287" s="79"/>
      <c r="P287" s="79"/>
      <c r="Q287" s="79"/>
      <c r="R287" s="79"/>
      <c r="S287" s="79"/>
      <c r="T287" s="79"/>
      <c r="U287" s="79"/>
      <c r="V287" s="79"/>
      <c r="W287" s="79"/>
      <c r="X287" s="79"/>
      <c r="Y287" s="79"/>
      <c r="AQ287" s="3"/>
    </row>
    <row r="288" spans="5:43" x14ac:dyDescent="0.35">
      <c r="E288" s="27" t="s">
        <v>252</v>
      </c>
      <c r="I288" t="s">
        <v>154</v>
      </c>
      <c r="J288" s="79"/>
      <c r="K288" s="79"/>
      <c r="L288" s="79"/>
      <c r="M288" s="79"/>
      <c r="N288" s="79"/>
      <c r="O288" s="79"/>
      <c r="P288" s="79"/>
      <c r="Q288" s="79"/>
      <c r="R288" s="79"/>
      <c r="S288" s="79"/>
      <c r="T288" s="79"/>
      <c r="U288" s="79"/>
      <c r="V288" s="79"/>
      <c r="W288" s="79"/>
      <c r="X288" s="79"/>
      <c r="Y288" s="79"/>
      <c r="AA288" t="s">
        <v>309</v>
      </c>
      <c r="AQ288" s="3"/>
    </row>
    <row r="289" spans="5:43" x14ac:dyDescent="0.35">
      <c r="E289" s="27"/>
      <c r="J289" s="79"/>
      <c r="K289" s="79"/>
      <c r="L289" s="79"/>
      <c r="M289" s="79"/>
      <c r="N289" s="79"/>
      <c r="O289" s="79"/>
      <c r="P289" s="79"/>
      <c r="Q289" s="79"/>
      <c r="R289" s="79"/>
      <c r="S289" s="79"/>
      <c r="T289" s="79"/>
      <c r="U289" s="79"/>
      <c r="V289" s="79"/>
      <c r="W289" s="79"/>
      <c r="X289" s="79"/>
      <c r="Y289" s="79"/>
      <c r="AQ289" s="3"/>
    </row>
    <row r="290" spans="5:43" x14ac:dyDescent="0.35">
      <c r="F290" s="23" t="s">
        <v>446</v>
      </c>
      <c r="G290" s="23" t="s">
        <v>251</v>
      </c>
      <c r="J290" s="88">
        <f t="shared" ref="J290:Y290" si="55">J204</f>
        <v>0</v>
      </c>
      <c r="K290" s="88">
        <f t="shared" si="55"/>
        <v>0</v>
      </c>
      <c r="L290" s="88">
        <f t="shared" si="55"/>
        <v>0</v>
      </c>
      <c r="M290" s="88">
        <f t="shared" si="55"/>
        <v>0</v>
      </c>
      <c r="N290" s="88">
        <f t="shared" si="55"/>
        <v>56241.206261113715</v>
      </c>
      <c r="O290" s="88">
        <f t="shared" si="55"/>
        <v>684.6301530255447</v>
      </c>
      <c r="P290" s="88">
        <f t="shared" si="55"/>
        <v>40360.151568241934</v>
      </c>
      <c r="Q290" s="88">
        <f t="shared" si="55"/>
        <v>0</v>
      </c>
      <c r="R290" s="88">
        <f t="shared" si="55"/>
        <v>0</v>
      </c>
      <c r="S290" s="88">
        <f t="shared" si="55"/>
        <v>0</v>
      </c>
      <c r="T290" s="88">
        <f t="shared" si="55"/>
        <v>0</v>
      </c>
      <c r="U290" s="88">
        <f t="shared" si="55"/>
        <v>0</v>
      </c>
      <c r="V290" s="88">
        <f t="shared" si="55"/>
        <v>0</v>
      </c>
      <c r="W290" s="88">
        <f t="shared" si="55"/>
        <v>0</v>
      </c>
      <c r="X290" s="88">
        <f t="shared" si="55"/>
        <v>0</v>
      </c>
      <c r="Y290" s="88">
        <f t="shared" si="55"/>
        <v>0</v>
      </c>
      <c r="AQ290" s="3"/>
    </row>
    <row r="291" spans="5:43" x14ac:dyDescent="0.35">
      <c r="F291" s="23" t="s">
        <v>447</v>
      </c>
      <c r="G291" s="23" t="s">
        <v>251</v>
      </c>
      <c r="J291" s="88">
        <f t="shared" ref="J291:Y291" si="56">J213</f>
        <v>0</v>
      </c>
      <c r="K291" s="88">
        <f t="shared" si="56"/>
        <v>0</v>
      </c>
      <c r="L291" s="88">
        <f t="shared" si="56"/>
        <v>0</v>
      </c>
      <c r="M291" s="88">
        <f t="shared" si="56"/>
        <v>0</v>
      </c>
      <c r="N291" s="88">
        <f t="shared" si="56"/>
        <v>76.169195250659627</v>
      </c>
      <c r="O291" s="88">
        <f t="shared" si="56"/>
        <v>0</v>
      </c>
      <c r="P291" s="88">
        <f t="shared" si="56"/>
        <v>0</v>
      </c>
      <c r="Q291" s="88">
        <f t="shared" si="56"/>
        <v>0</v>
      </c>
      <c r="R291" s="88">
        <f t="shared" si="56"/>
        <v>0</v>
      </c>
      <c r="S291" s="88">
        <f t="shared" si="56"/>
        <v>0</v>
      </c>
      <c r="T291" s="88">
        <f t="shared" si="56"/>
        <v>0</v>
      </c>
      <c r="U291" s="88">
        <f t="shared" si="56"/>
        <v>0</v>
      </c>
      <c r="V291" s="88">
        <f t="shared" si="56"/>
        <v>0</v>
      </c>
      <c r="W291" s="88">
        <f t="shared" si="56"/>
        <v>0</v>
      </c>
      <c r="X291" s="88">
        <f t="shared" si="56"/>
        <v>0</v>
      </c>
      <c r="Y291" s="88">
        <f t="shared" si="56"/>
        <v>0</v>
      </c>
      <c r="AQ291" s="3"/>
    </row>
    <row r="292" spans="5:43" x14ac:dyDescent="0.35">
      <c r="F292" s="23" t="s">
        <v>448</v>
      </c>
      <c r="G292" s="23" t="s">
        <v>251</v>
      </c>
      <c r="J292" s="88">
        <f t="shared" ref="J292:Y292" si="57">J222</f>
        <v>0</v>
      </c>
      <c r="K292" s="88">
        <f t="shared" si="57"/>
        <v>0</v>
      </c>
      <c r="L292" s="88">
        <f t="shared" si="57"/>
        <v>0</v>
      </c>
      <c r="M292" s="88">
        <f t="shared" si="57"/>
        <v>0</v>
      </c>
      <c r="N292" s="88">
        <f t="shared" si="57"/>
        <v>318.91665850712701</v>
      </c>
      <c r="O292" s="88">
        <f t="shared" si="57"/>
        <v>0</v>
      </c>
      <c r="P292" s="88">
        <f t="shared" si="57"/>
        <v>477.99999999999983</v>
      </c>
      <c r="Q292" s="88">
        <f t="shared" si="57"/>
        <v>0</v>
      </c>
      <c r="R292" s="88">
        <f t="shared" si="57"/>
        <v>0</v>
      </c>
      <c r="S292" s="88">
        <f t="shared" si="57"/>
        <v>0</v>
      </c>
      <c r="T292" s="88">
        <f t="shared" si="57"/>
        <v>0</v>
      </c>
      <c r="U292" s="88">
        <f t="shared" si="57"/>
        <v>0</v>
      </c>
      <c r="V292" s="88">
        <f t="shared" si="57"/>
        <v>0</v>
      </c>
      <c r="W292" s="88">
        <f t="shared" si="57"/>
        <v>0</v>
      </c>
      <c r="X292" s="88">
        <f t="shared" si="57"/>
        <v>0</v>
      </c>
      <c r="Y292" s="88">
        <f t="shared" si="57"/>
        <v>0</v>
      </c>
      <c r="AQ292" s="3"/>
    </row>
    <row r="293" spans="5:43" x14ac:dyDescent="0.35">
      <c r="F293" s="23" t="s">
        <v>449</v>
      </c>
      <c r="G293" s="23" t="s">
        <v>167</v>
      </c>
      <c r="J293" s="363">
        <f t="shared" ref="J293:Y293" si="58">IF(J$42, J$48, J$34)</f>
        <v>0.37097391060683016</v>
      </c>
      <c r="K293" s="363">
        <f t="shared" si="58"/>
        <v>0.37097391060683016</v>
      </c>
      <c r="L293" s="363">
        <f t="shared" si="58"/>
        <v>0.37097391060683016</v>
      </c>
      <c r="M293" s="363">
        <f t="shared" si="58"/>
        <v>0.37097391060683016</v>
      </c>
      <c r="N293" s="363">
        <f t="shared" si="58"/>
        <v>0.37097391060683016</v>
      </c>
      <c r="O293" s="363">
        <f t="shared" si="58"/>
        <v>0</v>
      </c>
      <c r="P293" s="363">
        <f t="shared" si="58"/>
        <v>0</v>
      </c>
      <c r="Q293" s="363">
        <f t="shared" si="58"/>
        <v>0.37097391060683016</v>
      </c>
      <c r="R293" s="363">
        <f t="shared" si="58"/>
        <v>0</v>
      </c>
      <c r="S293" s="363">
        <f t="shared" si="58"/>
        <v>0</v>
      </c>
      <c r="T293" s="363">
        <f t="shared" si="58"/>
        <v>0</v>
      </c>
      <c r="U293" s="363">
        <f t="shared" si="58"/>
        <v>0</v>
      </c>
      <c r="V293" s="363">
        <f t="shared" si="58"/>
        <v>0</v>
      </c>
      <c r="W293" s="363">
        <f t="shared" si="58"/>
        <v>0</v>
      </c>
      <c r="X293" s="363">
        <f t="shared" si="58"/>
        <v>0</v>
      </c>
      <c r="Y293" s="363">
        <f t="shared" si="58"/>
        <v>0</v>
      </c>
      <c r="AQ293" s="3"/>
    </row>
    <row r="294" spans="5:43" x14ac:dyDescent="0.35">
      <c r="F294" s="23" t="s">
        <v>450</v>
      </c>
      <c r="G294" s="23" t="s">
        <v>167</v>
      </c>
      <c r="J294" s="363">
        <f t="shared" ref="J294:Y294" si="59">IF(J$42, J$48, J$35)</f>
        <v>0.54529202281657996</v>
      </c>
      <c r="K294" s="363">
        <f t="shared" si="59"/>
        <v>0.54529202281657996</v>
      </c>
      <c r="L294" s="363">
        <f t="shared" si="59"/>
        <v>0.54529202281657996</v>
      </c>
      <c r="M294" s="363">
        <f t="shared" si="59"/>
        <v>0.54529202281657996</v>
      </c>
      <c r="N294" s="363">
        <f t="shared" si="59"/>
        <v>0.54529202281657996</v>
      </c>
      <c r="O294" s="363">
        <f t="shared" si="59"/>
        <v>0.25951924258539139</v>
      </c>
      <c r="P294" s="363">
        <f t="shared" si="59"/>
        <v>0.15142745426120777</v>
      </c>
      <c r="Q294" s="363">
        <f t="shared" si="59"/>
        <v>0.54529202281657996</v>
      </c>
      <c r="R294" s="363">
        <f t="shared" si="59"/>
        <v>0</v>
      </c>
      <c r="S294" s="363">
        <f t="shared" si="59"/>
        <v>0</v>
      </c>
      <c r="T294" s="363">
        <f t="shared" si="59"/>
        <v>0</v>
      </c>
      <c r="U294" s="363">
        <f t="shared" si="59"/>
        <v>0</v>
      </c>
      <c r="V294" s="363">
        <f t="shared" si="59"/>
        <v>0</v>
      </c>
      <c r="W294" s="363">
        <f t="shared" si="59"/>
        <v>0</v>
      </c>
      <c r="X294" s="363">
        <f t="shared" si="59"/>
        <v>0</v>
      </c>
      <c r="Y294" s="363">
        <f t="shared" si="59"/>
        <v>0</v>
      </c>
      <c r="AQ294" s="3"/>
    </row>
    <row r="295" spans="5:43" x14ac:dyDescent="0.35">
      <c r="F295" s="23" t="s">
        <v>451</v>
      </c>
      <c r="G295" s="23" t="s">
        <v>251</v>
      </c>
      <c r="J295" s="88">
        <f t="shared" ref="J295:Y295" si="60">J291 * (1 - J293)</f>
        <v>0</v>
      </c>
      <c r="K295" s="88">
        <f t="shared" si="60"/>
        <v>0</v>
      </c>
      <c r="L295" s="88">
        <f t="shared" si="60"/>
        <v>0</v>
      </c>
      <c r="M295" s="88">
        <f t="shared" si="60"/>
        <v>0</v>
      </c>
      <c r="N295" s="88">
        <f t="shared" si="60"/>
        <v>47.912411020747228</v>
      </c>
      <c r="O295" s="88">
        <f t="shared" si="60"/>
        <v>0</v>
      </c>
      <c r="P295" s="88">
        <f t="shared" si="60"/>
        <v>0</v>
      </c>
      <c r="Q295" s="88">
        <f t="shared" si="60"/>
        <v>0</v>
      </c>
      <c r="R295" s="88">
        <f t="shared" si="60"/>
        <v>0</v>
      </c>
      <c r="S295" s="88">
        <f t="shared" si="60"/>
        <v>0</v>
      </c>
      <c r="T295" s="88">
        <f t="shared" si="60"/>
        <v>0</v>
      </c>
      <c r="U295" s="88">
        <f t="shared" si="60"/>
        <v>0</v>
      </c>
      <c r="V295" s="88">
        <f t="shared" si="60"/>
        <v>0</v>
      </c>
      <c r="W295" s="88">
        <f t="shared" si="60"/>
        <v>0</v>
      </c>
      <c r="X295" s="88">
        <f t="shared" si="60"/>
        <v>0</v>
      </c>
      <c r="Y295" s="88">
        <f t="shared" si="60"/>
        <v>0</v>
      </c>
      <c r="AQ295" s="3"/>
    </row>
    <row r="296" spans="5:43" x14ac:dyDescent="0.35">
      <c r="F296" s="57" t="s">
        <v>452</v>
      </c>
      <c r="G296" s="57" t="s">
        <v>251</v>
      </c>
      <c r="H296" s="28"/>
      <c r="I296" s="28"/>
      <c r="J296" s="90">
        <f t="shared" ref="J296:Y296" si="61">J292 * (1 - J294)</f>
        <v>0</v>
      </c>
      <c r="K296" s="90">
        <f t="shared" si="61"/>
        <v>0</v>
      </c>
      <c r="L296" s="90">
        <f t="shared" si="61"/>
        <v>0</v>
      </c>
      <c r="M296" s="90">
        <f t="shared" si="61"/>
        <v>0</v>
      </c>
      <c r="N296" s="90">
        <f t="shared" si="61"/>
        <v>145.01394867987128</v>
      </c>
      <c r="O296" s="90">
        <f t="shared" si="61"/>
        <v>0</v>
      </c>
      <c r="P296" s="90">
        <f t="shared" si="61"/>
        <v>405.61767686314255</v>
      </c>
      <c r="Q296" s="90">
        <f t="shared" si="61"/>
        <v>0</v>
      </c>
      <c r="R296" s="90">
        <f t="shared" si="61"/>
        <v>0</v>
      </c>
      <c r="S296" s="90">
        <f t="shared" si="61"/>
        <v>0</v>
      </c>
      <c r="T296" s="90">
        <f t="shared" si="61"/>
        <v>0</v>
      </c>
      <c r="U296" s="90">
        <f t="shared" si="61"/>
        <v>0</v>
      </c>
      <c r="V296" s="90">
        <f t="shared" si="61"/>
        <v>0</v>
      </c>
      <c r="W296" s="90">
        <f t="shared" si="61"/>
        <v>0</v>
      </c>
      <c r="X296" s="90">
        <f t="shared" si="61"/>
        <v>0</v>
      </c>
      <c r="Y296" s="90">
        <f t="shared" si="61"/>
        <v>0</v>
      </c>
      <c r="AQ296" s="3"/>
    </row>
    <row r="297" spans="5:43" x14ac:dyDescent="0.35">
      <c r="F297" s="23" t="s">
        <v>453</v>
      </c>
      <c r="G297" s="23" t="s">
        <v>251</v>
      </c>
      <c r="J297" s="111">
        <f t="shared" ref="J297:Y297" si="62">J290 + J295 + J296</f>
        <v>0</v>
      </c>
      <c r="K297" s="111">
        <f t="shared" si="62"/>
        <v>0</v>
      </c>
      <c r="L297" s="111">
        <f t="shared" si="62"/>
        <v>0</v>
      </c>
      <c r="M297" s="111">
        <f t="shared" si="62"/>
        <v>0</v>
      </c>
      <c r="N297" s="111">
        <f t="shared" si="62"/>
        <v>56434.132620814336</v>
      </c>
      <c r="O297" s="111">
        <f t="shared" si="62"/>
        <v>684.6301530255447</v>
      </c>
      <c r="P297" s="111">
        <f t="shared" si="62"/>
        <v>40765.769245105075</v>
      </c>
      <c r="Q297" s="111">
        <f t="shared" si="62"/>
        <v>0</v>
      </c>
      <c r="R297" s="111">
        <f t="shared" si="62"/>
        <v>0</v>
      </c>
      <c r="S297" s="111">
        <f t="shared" si="62"/>
        <v>0</v>
      </c>
      <c r="T297" s="111">
        <f t="shared" si="62"/>
        <v>0</v>
      </c>
      <c r="U297" s="111">
        <f t="shared" si="62"/>
        <v>0</v>
      </c>
      <c r="V297" s="111">
        <f t="shared" si="62"/>
        <v>0</v>
      </c>
      <c r="W297" s="111">
        <f t="shared" si="62"/>
        <v>0</v>
      </c>
      <c r="X297" s="111">
        <f t="shared" si="62"/>
        <v>0</v>
      </c>
      <c r="Y297" s="111">
        <f t="shared" si="62"/>
        <v>0</v>
      </c>
      <c r="AQ297" s="3"/>
    </row>
    <row r="298" spans="5:43" x14ac:dyDescent="0.35">
      <c r="E298" s="27"/>
      <c r="J298" s="79"/>
      <c r="K298" s="79"/>
      <c r="L298" s="79"/>
      <c r="M298" s="79"/>
      <c r="N298" s="79"/>
      <c r="O298" s="79"/>
      <c r="P298" s="79"/>
      <c r="Q298" s="79"/>
      <c r="R298" s="79"/>
      <c r="S298" s="79"/>
      <c r="T298" s="79"/>
      <c r="U298" s="79"/>
      <c r="V298" s="79"/>
      <c r="W298" s="79"/>
      <c r="X298" s="79"/>
      <c r="Y298" s="79"/>
      <c r="AQ298" s="3"/>
    </row>
    <row r="299" spans="5:43" x14ac:dyDescent="0.35">
      <c r="E299" s="27" t="s">
        <v>253</v>
      </c>
      <c r="I299" t="s">
        <v>154</v>
      </c>
      <c r="J299" s="79"/>
      <c r="K299" s="79"/>
      <c r="L299" s="79"/>
      <c r="M299" s="79"/>
      <c r="N299" s="79"/>
      <c r="O299" s="79"/>
      <c r="P299" s="79"/>
      <c r="Q299" s="79"/>
      <c r="R299" s="79"/>
      <c r="S299" s="79"/>
      <c r="T299" s="79"/>
      <c r="U299" s="79"/>
      <c r="V299" s="79"/>
      <c r="W299" s="79"/>
      <c r="X299" s="79"/>
      <c r="Y299" s="79"/>
      <c r="AA299" t="s">
        <v>309</v>
      </c>
      <c r="AQ299" s="3"/>
    </row>
    <row r="300" spans="5:43" x14ac:dyDescent="0.35">
      <c r="E300" s="27"/>
      <c r="J300" s="79"/>
      <c r="K300" s="79"/>
      <c r="L300" s="79"/>
      <c r="M300" s="79"/>
      <c r="N300" s="79"/>
      <c r="O300" s="79"/>
      <c r="P300" s="79"/>
      <c r="Q300" s="79"/>
      <c r="R300" s="79"/>
      <c r="S300" s="79"/>
      <c r="T300" s="79"/>
      <c r="U300" s="79"/>
      <c r="V300" s="79"/>
      <c r="W300" s="79"/>
      <c r="X300" s="79"/>
      <c r="Y300" s="79"/>
      <c r="AQ300" s="3"/>
    </row>
    <row r="301" spans="5:43" x14ac:dyDescent="0.35">
      <c r="F301" s="23" t="s">
        <v>446</v>
      </c>
      <c r="G301" s="23" t="s">
        <v>254</v>
      </c>
      <c r="J301" s="88">
        <f t="shared" ref="J301:Y301" si="63">J205</f>
        <v>0</v>
      </c>
      <c r="K301" s="88">
        <f t="shared" si="63"/>
        <v>0</v>
      </c>
      <c r="L301" s="88">
        <f t="shared" si="63"/>
        <v>0</v>
      </c>
      <c r="M301" s="88">
        <f t="shared" si="63"/>
        <v>0</v>
      </c>
      <c r="N301" s="88">
        <f t="shared" si="63"/>
        <v>375356.25879735843</v>
      </c>
      <c r="O301" s="88">
        <f t="shared" si="63"/>
        <v>22737.513158373185</v>
      </c>
      <c r="P301" s="88">
        <f t="shared" si="63"/>
        <v>276921.67376840481</v>
      </c>
      <c r="Q301" s="88">
        <f t="shared" si="63"/>
        <v>0</v>
      </c>
      <c r="R301" s="88">
        <f t="shared" si="63"/>
        <v>0</v>
      </c>
      <c r="S301" s="88">
        <f t="shared" si="63"/>
        <v>0</v>
      </c>
      <c r="T301" s="88">
        <f t="shared" si="63"/>
        <v>6749.0700869110524</v>
      </c>
      <c r="U301" s="88">
        <f t="shared" si="63"/>
        <v>0</v>
      </c>
      <c r="V301" s="88">
        <f t="shared" si="63"/>
        <v>0</v>
      </c>
      <c r="W301" s="88">
        <f t="shared" si="63"/>
        <v>0</v>
      </c>
      <c r="X301" s="88">
        <f t="shared" si="63"/>
        <v>37191.039110646561</v>
      </c>
      <c r="Y301" s="88">
        <f t="shared" si="63"/>
        <v>0</v>
      </c>
      <c r="AQ301" s="3"/>
    </row>
    <row r="302" spans="5:43" x14ac:dyDescent="0.35">
      <c r="F302" s="23" t="s">
        <v>447</v>
      </c>
      <c r="G302" s="23" t="s">
        <v>254</v>
      </c>
      <c r="J302" s="88">
        <f t="shared" ref="J302:Y302" si="64">J214</f>
        <v>0</v>
      </c>
      <c r="K302" s="88">
        <f t="shared" si="64"/>
        <v>0</v>
      </c>
      <c r="L302" s="88">
        <f t="shared" si="64"/>
        <v>0</v>
      </c>
      <c r="M302" s="88">
        <f t="shared" si="64"/>
        <v>0</v>
      </c>
      <c r="N302" s="88">
        <f t="shared" si="64"/>
        <v>2717.3698248341379</v>
      </c>
      <c r="O302" s="88">
        <f t="shared" si="64"/>
        <v>0</v>
      </c>
      <c r="P302" s="88">
        <f t="shared" si="64"/>
        <v>0</v>
      </c>
      <c r="Q302" s="88">
        <f t="shared" si="64"/>
        <v>0</v>
      </c>
      <c r="R302" s="88">
        <f t="shared" si="64"/>
        <v>0</v>
      </c>
      <c r="S302" s="88">
        <f t="shared" si="64"/>
        <v>0</v>
      </c>
      <c r="T302" s="88">
        <f t="shared" si="64"/>
        <v>1.3384781668828363</v>
      </c>
      <c r="U302" s="88">
        <f t="shared" si="64"/>
        <v>0</v>
      </c>
      <c r="V302" s="88">
        <f t="shared" si="64"/>
        <v>0</v>
      </c>
      <c r="W302" s="88">
        <f t="shared" si="64"/>
        <v>0</v>
      </c>
      <c r="X302" s="88">
        <f t="shared" si="64"/>
        <v>0</v>
      </c>
      <c r="Y302" s="88">
        <f t="shared" si="64"/>
        <v>0</v>
      </c>
      <c r="AQ302" s="3"/>
    </row>
    <row r="303" spans="5:43" x14ac:dyDescent="0.35">
      <c r="F303" s="23" t="s">
        <v>448</v>
      </c>
      <c r="G303" s="23" t="s">
        <v>254</v>
      </c>
      <c r="J303" s="88">
        <f t="shared" ref="J303:Y303" si="65">J223</f>
        <v>0</v>
      </c>
      <c r="K303" s="88">
        <f t="shared" si="65"/>
        <v>0</v>
      </c>
      <c r="L303" s="88">
        <f t="shared" si="65"/>
        <v>0</v>
      </c>
      <c r="M303" s="88">
        <f t="shared" si="65"/>
        <v>0</v>
      </c>
      <c r="N303" s="88">
        <f t="shared" si="65"/>
        <v>14703.898845926709</v>
      </c>
      <c r="O303" s="88">
        <f t="shared" si="65"/>
        <v>2648.4539178752584</v>
      </c>
      <c r="P303" s="88">
        <f t="shared" si="65"/>
        <v>485.89717816656901</v>
      </c>
      <c r="Q303" s="88">
        <f t="shared" si="65"/>
        <v>0</v>
      </c>
      <c r="R303" s="88">
        <f t="shared" si="65"/>
        <v>0</v>
      </c>
      <c r="S303" s="88">
        <f t="shared" si="65"/>
        <v>0</v>
      </c>
      <c r="T303" s="88">
        <f t="shared" si="65"/>
        <v>0</v>
      </c>
      <c r="U303" s="88">
        <f t="shared" si="65"/>
        <v>0</v>
      </c>
      <c r="V303" s="88">
        <f t="shared" si="65"/>
        <v>0</v>
      </c>
      <c r="W303" s="88">
        <f t="shared" si="65"/>
        <v>0</v>
      </c>
      <c r="X303" s="88">
        <f t="shared" si="65"/>
        <v>0</v>
      </c>
      <c r="Y303" s="88">
        <f t="shared" si="65"/>
        <v>0</v>
      </c>
      <c r="AQ303" s="3"/>
    </row>
    <row r="304" spans="5:43" x14ac:dyDescent="0.35">
      <c r="F304" s="23" t="s">
        <v>449</v>
      </c>
      <c r="G304" s="23" t="s">
        <v>167</v>
      </c>
      <c r="J304" s="363">
        <f t="shared" ref="J304:Y304" si="66">IF(J$43, J$49, J$34)</f>
        <v>0.37097391060683016</v>
      </c>
      <c r="K304" s="363">
        <f t="shared" si="66"/>
        <v>0.37097391060683016</v>
      </c>
      <c r="L304" s="363">
        <f t="shared" si="66"/>
        <v>0.37097391060683016</v>
      </c>
      <c r="M304" s="363">
        <f t="shared" si="66"/>
        <v>0.37097391060683016</v>
      </c>
      <c r="N304" s="363">
        <f t="shared" si="66"/>
        <v>0.37097391060683016</v>
      </c>
      <c r="O304" s="363">
        <f t="shared" si="66"/>
        <v>0</v>
      </c>
      <c r="P304" s="363">
        <f t="shared" si="66"/>
        <v>0</v>
      </c>
      <c r="Q304" s="363">
        <f t="shared" si="66"/>
        <v>0.37097391060683016</v>
      </c>
      <c r="R304" s="363">
        <f t="shared" si="66"/>
        <v>0</v>
      </c>
      <c r="S304" s="363">
        <f t="shared" si="66"/>
        <v>0</v>
      </c>
      <c r="T304" s="363">
        <f t="shared" si="66"/>
        <v>0</v>
      </c>
      <c r="U304" s="363">
        <f t="shared" si="66"/>
        <v>0</v>
      </c>
      <c r="V304" s="363">
        <f t="shared" si="66"/>
        <v>0</v>
      </c>
      <c r="W304" s="363">
        <f t="shared" si="66"/>
        <v>0</v>
      </c>
      <c r="X304" s="363">
        <f t="shared" si="66"/>
        <v>0</v>
      </c>
      <c r="Y304" s="363">
        <f t="shared" si="66"/>
        <v>0</v>
      </c>
      <c r="AQ304" s="3"/>
    </row>
    <row r="305" spans="2:43" x14ac:dyDescent="0.35">
      <c r="F305" s="23" t="s">
        <v>450</v>
      </c>
      <c r="G305" s="23" t="s">
        <v>167</v>
      </c>
      <c r="J305" s="363">
        <f t="shared" ref="J305:Y305" si="67">IF(J$43, J$49, J$35)</f>
        <v>0.54529202281657996</v>
      </c>
      <c r="K305" s="363">
        <f t="shared" si="67"/>
        <v>0.54529202281657996</v>
      </c>
      <c r="L305" s="363">
        <f t="shared" si="67"/>
        <v>0.54529202281657996</v>
      </c>
      <c r="M305" s="363">
        <f t="shared" si="67"/>
        <v>0.54529202281657996</v>
      </c>
      <c r="N305" s="363">
        <f t="shared" si="67"/>
        <v>0.54529202281657996</v>
      </c>
      <c r="O305" s="363">
        <f t="shared" si="67"/>
        <v>0.25951924258539139</v>
      </c>
      <c r="P305" s="363">
        <f t="shared" si="67"/>
        <v>0.15142745426120777</v>
      </c>
      <c r="Q305" s="363">
        <f t="shared" si="67"/>
        <v>0.54529202281657996</v>
      </c>
      <c r="R305" s="363">
        <f t="shared" si="67"/>
        <v>0</v>
      </c>
      <c r="S305" s="363">
        <f t="shared" si="67"/>
        <v>0</v>
      </c>
      <c r="T305" s="363">
        <f t="shared" si="67"/>
        <v>0</v>
      </c>
      <c r="U305" s="363">
        <f t="shared" si="67"/>
        <v>0</v>
      </c>
      <c r="V305" s="363">
        <f t="shared" si="67"/>
        <v>0</v>
      </c>
      <c r="W305" s="363">
        <f t="shared" si="67"/>
        <v>0</v>
      </c>
      <c r="X305" s="363">
        <f t="shared" si="67"/>
        <v>0</v>
      </c>
      <c r="Y305" s="363">
        <f t="shared" si="67"/>
        <v>0</v>
      </c>
      <c r="AQ305" s="3"/>
    </row>
    <row r="306" spans="2:43" x14ac:dyDescent="0.35">
      <c r="F306" s="23" t="s">
        <v>451</v>
      </c>
      <c r="G306" s="23" t="s">
        <v>254</v>
      </c>
      <c r="J306" s="88">
        <f t="shared" ref="J306:Y306" si="68">J302 * (1 - J304)</f>
        <v>0</v>
      </c>
      <c r="K306" s="88">
        <f t="shared" si="68"/>
        <v>0</v>
      </c>
      <c r="L306" s="88">
        <f t="shared" si="68"/>
        <v>0</v>
      </c>
      <c r="M306" s="88">
        <f t="shared" si="68"/>
        <v>0</v>
      </c>
      <c r="N306" s="88">
        <f t="shared" si="68"/>
        <v>1709.2965143504207</v>
      </c>
      <c r="O306" s="88">
        <f t="shared" si="68"/>
        <v>0</v>
      </c>
      <c r="P306" s="88">
        <f t="shared" si="68"/>
        <v>0</v>
      </c>
      <c r="Q306" s="88">
        <f t="shared" si="68"/>
        <v>0</v>
      </c>
      <c r="R306" s="88">
        <f t="shared" si="68"/>
        <v>0</v>
      </c>
      <c r="S306" s="88">
        <f t="shared" si="68"/>
        <v>0</v>
      </c>
      <c r="T306" s="88">
        <f t="shared" si="68"/>
        <v>1.3384781668828363</v>
      </c>
      <c r="U306" s="88">
        <f t="shared" si="68"/>
        <v>0</v>
      </c>
      <c r="V306" s="88">
        <f t="shared" si="68"/>
        <v>0</v>
      </c>
      <c r="W306" s="88">
        <f t="shared" si="68"/>
        <v>0</v>
      </c>
      <c r="X306" s="88">
        <f t="shared" si="68"/>
        <v>0</v>
      </c>
      <c r="Y306" s="88">
        <f t="shared" si="68"/>
        <v>0</v>
      </c>
      <c r="AQ306" s="3"/>
    </row>
    <row r="307" spans="2:43" x14ac:dyDescent="0.35">
      <c r="F307" s="57" t="s">
        <v>452</v>
      </c>
      <c r="G307" s="57" t="s">
        <v>254</v>
      </c>
      <c r="H307" s="28"/>
      <c r="I307" s="28"/>
      <c r="J307" s="90">
        <f t="shared" ref="J307:Y307" si="69">J303 * (1 - J305)</f>
        <v>0</v>
      </c>
      <c r="K307" s="90">
        <f t="shared" si="69"/>
        <v>0</v>
      </c>
      <c r="L307" s="90">
        <f t="shared" si="69"/>
        <v>0</v>
      </c>
      <c r="M307" s="90">
        <f t="shared" si="69"/>
        <v>0</v>
      </c>
      <c r="N307" s="90">
        <f t="shared" si="69"/>
        <v>6685.9801009409584</v>
      </c>
      <c r="O307" s="90">
        <f t="shared" si="69"/>
        <v>1961.1291630859589</v>
      </c>
      <c r="P307" s="90">
        <f t="shared" si="69"/>
        <v>412.31900544410098</v>
      </c>
      <c r="Q307" s="90">
        <f t="shared" si="69"/>
        <v>0</v>
      </c>
      <c r="R307" s="90">
        <f t="shared" si="69"/>
        <v>0</v>
      </c>
      <c r="S307" s="90">
        <f t="shared" si="69"/>
        <v>0</v>
      </c>
      <c r="T307" s="90">
        <f t="shared" si="69"/>
        <v>0</v>
      </c>
      <c r="U307" s="90">
        <f t="shared" si="69"/>
        <v>0</v>
      </c>
      <c r="V307" s="90">
        <f t="shared" si="69"/>
        <v>0</v>
      </c>
      <c r="W307" s="90">
        <f t="shared" si="69"/>
        <v>0</v>
      </c>
      <c r="X307" s="90">
        <f t="shared" si="69"/>
        <v>0</v>
      </c>
      <c r="Y307" s="90">
        <f t="shared" si="69"/>
        <v>0</v>
      </c>
      <c r="AQ307" s="3"/>
    </row>
    <row r="308" spans="2:43" x14ac:dyDescent="0.35">
      <c r="F308" s="23" t="s">
        <v>453</v>
      </c>
      <c r="G308" s="23" t="s">
        <v>254</v>
      </c>
      <c r="J308" s="111">
        <f t="shared" ref="J308:Y308" si="70">J301 + J306 + J307</f>
        <v>0</v>
      </c>
      <c r="K308" s="111">
        <f t="shared" si="70"/>
        <v>0</v>
      </c>
      <c r="L308" s="111">
        <f t="shared" si="70"/>
        <v>0</v>
      </c>
      <c r="M308" s="111">
        <f t="shared" si="70"/>
        <v>0</v>
      </c>
      <c r="N308" s="111">
        <f t="shared" si="70"/>
        <v>383751.5354126498</v>
      </c>
      <c r="O308" s="111">
        <f t="shared" si="70"/>
        <v>24698.642321459145</v>
      </c>
      <c r="P308" s="111">
        <f t="shared" si="70"/>
        <v>277333.99277384894</v>
      </c>
      <c r="Q308" s="111">
        <f t="shared" si="70"/>
        <v>0</v>
      </c>
      <c r="R308" s="111">
        <f t="shared" si="70"/>
        <v>0</v>
      </c>
      <c r="S308" s="111">
        <f t="shared" si="70"/>
        <v>0</v>
      </c>
      <c r="T308" s="111">
        <f t="shared" si="70"/>
        <v>6750.4085650779352</v>
      </c>
      <c r="U308" s="111">
        <f t="shared" si="70"/>
        <v>0</v>
      </c>
      <c r="V308" s="111">
        <f t="shared" si="70"/>
        <v>0</v>
      </c>
      <c r="W308" s="111">
        <f t="shared" si="70"/>
        <v>0</v>
      </c>
      <c r="X308" s="111">
        <f t="shared" si="70"/>
        <v>37191.039110646561</v>
      </c>
      <c r="Y308" s="111">
        <f t="shared" si="70"/>
        <v>0</v>
      </c>
      <c r="AQ308" s="3"/>
    </row>
    <row r="309" spans="2:43" x14ac:dyDescent="0.35">
      <c r="D309" s="27"/>
      <c r="AQ309" s="3"/>
    </row>
    <row r="310" spans="2:43" x14ac:dyDescent="0.35">
      <c r="B310" s="25" t="s">
        <v>929</v>
      </c>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C310" s="25"/>
      <c r="AD310" s="25"/>
      <c r="AE310" s="25"/>
      <c r="AF310" s="25"/>
      <c r="AG310" s="25"/>
      <c r="AH310" s="25"/>
      <c r="AI310" s="25"/>
      <c r="AJ310" s="25"/>
      <c r="AK310" s="25"/>
      <c r="AL310" s="25"/>
      <c r="AM310" s="25"/>
      <c r="AN310" s="25"/>
      <c r="AO310" s="25"/>
      <c r="AQ310" s="25"/>
    </row>
    <row r="311" spans="2:43" x14ac:dyDescent="0.35">
      <c r="C311" s="27"/>
      <c r="AQ311" s="3"/>
    </row>
    <row r="312" spans="2:43" x14ac:dyDescent="0.35">
      <c r="C312" s="24" t="s">
        <v>1033</v>
      </c>
      <c r="AQ312" s="3"/>
    </row>
    <row r="313" spans="2:43" x14ac:dyDescent="0.35">
      <c r="C313" s="27"/>
      <c r="AQ313" s="3"/>
    </row>
    <row r="314" spans="2:43" x14ac:dyDescent="0.35">
      <c r="C314" s="27"/>
      <c r="E314" s="27" t="s">
        <v>449</v>
      </c>
      <c r="AQ314" s="3"/>
    </row>
    <row r="315" spans="2:43" x14ac:dyDescent="0.35">
      <c r="C315" s="27"/>
      <c r="F315" s="68" t="s">
        <v>247</v>
      </c>
      <c r="G315" s="19" t="s">
        <v>167</v>
      </c>
      <c r="H315" s="19"/>
      <c r="I315" s="19"/>
      <c r="J315" s="144">
        <f>IF(J$39, J$45, J$34)</f>
        <v>0.37097391060683016</v>
      </c>
      <c r="K315" s="144">
        <f t="shared" ref="K315:Y315" si="71">IF(K$39, K$45, K$34)</f>
        <v>0.37097391060683016</v>
      </c>
      <c r="L315" s="144">
        <f t="shared" si="71"/>
        <v>0.37097391060683016</v>
      </c>
      <c r="M315" s="144">
        <f t="shared" si="71"/>
        <v>0.37097391060683016</v>
      </c>
      <c r="N315" s="144">
        <f t="shared" si="71"/>
        <v>0.37097391060683016</v>
      </c>
      <c r="O315" s="144">
        <f t="shared" si="71"/>
        <v>0</v>
      </c>
      <c r="P315" s="144">
        <f t="shared" si="71"/>
        <v>0</v>
      </c>
      <c r="Q315" s="144">
        <f t="shared" si="71"/>
        <v>0.37097391060683016</v>
      </c>
      <c r="R315" s="144">
        <f t="shared" si="71"/>
        <v>0</v>
      </c>
      <c r="S315" s="144">
        <f t="shared" si="71"/>
        <v>0</v>
      </c>
      <c r="T315" s="144">
        <f t="shared" si="71"/>
        <v>0</v>
      </c>
      <c r="U315" s="144">
        <f t="shared" si="71"/>
        <v>0</v>
      </c>
      <c r="V315" s="144">
        <f t="shared" si="71"/>
        <v>0</v>
      </c>
      <c r="W315" s="144">
        <f t="shared" si="71"/>
        <v>0</v>
      </c>
      <c r="X315" s="144">
        <f t="shared" si="71"/>
        <v>0</v>
      </c>
      <c r="Y315" s="144">
        <f t="shared" si="71"/>
        <v>0</v>
      </c>
      <c r="AQ315" s="3"/>
    </row>
    <row r="316" spans="2:43" x14ac:dyDescent="0.35">
      <c r="C316" s="27"/>
      <c r="F316" s="62" t="s">
        <v>248</v>
      </c>
      <c r="G316" t="s">
        <v>167</v>
      </c>
      <c r="J316" s="317">
        <f t="shared" ref="J316:Y317" si="72">IF(J$39, J$45, J$34)</f>
        <v>0.37097391060683016</v>
      </c>
      <c r="K316" s="317">
        <f t="shared" si="72"/>
        <v>0.37097391060683016</v>
      </c>
      <c r="L316" s="317">
        <f t="shared" si="72"/>
        <v>0.37097391060683016</v>
      </c>
      <c r="M316" s="317">
        <f t="shared" si="72"/>
        <v>0.37097391060683016</v>
      </c>
      <c r="N316" s="317">
        <f t="shared" si="72"/>
        <v>0.37097391060683016</v>
      </c>
      <c r="O316" s="317">
        <f t="shared" si="72"/>
        <v>0</v>
      </c>
      <c r="P316" s="317">
        <f t="shared" si="72"/>
        <v>0</v>
      </c>
      <c r="Q316" s="317">
        <f t="shared" si="72"/>
        <v>0.37097391060683016</v>
      </c>
      <c r="R316" s="317">
        <f t="shared" si="72"/>
        <v>0</v>
      </c>
      <c r="S316" s="317">
        <f t="shared" si="72"/>
        <v>0</v>
      </c>
      <c r="T316" s="317">
        <f t="shared" si="72"/>
        <v>0</v>
      </c>
      <c r="U316" s="317">
        <f t="shared" si="72"/>
        <v>0</v>
      </c>
      <c r="V316" s="317">
        <f t="shared" si="72"/>
        <v>0</v>
      </c>
      <c r="W316" s="317">
        <f t="shared" si="72"/>
        <v>0</v>
      </c>
      <c r="X316" s="317">
        <f t="shared" si="72"/>
        <v>0</v>
      </c>
      <c r="Y316" s="317">
        <f t="shared" si="72"/>
        <v>0</v>
      </c>
      <c r="AQ316" s="3"/>
    </row>
    <row r="317" spans="2:43" x14ac:dyDescent="0.35">
      <c r="C317" s="27"/>
      <c r="F317" s="70" t="s">
        <v>249</v>
      </c>
      <c r="G317" s="28" t="s">
        <v>167</v>
      </c>
      <c r="H317" s="28"/>
      <c r="I317" s="28"/>
      <c r="J317" s="145">
        <f t="shared" si="72"/>
        <v>0.37097391060683016</v>
      </c>
      <c r="K317" s="145">
        <f t="shared" si="72"/>
        <v>0.37097391060683016</v>
      </c>
      <c r="L317" s="145">
        <f t="shared" si="72"/>
        <v>0.37097391060683016</v>
      </c>
      <c r="M317" s="145">
        <f t="shared" si="72"/>
        <v>0.37097391060683016</v>
      </c>
      <c r="N317" s="145">
        <f t="shared" si="72"/>
        <v>0.37097391060683016</v>
      </c>
      <c r="O317" s="145">
        <f t="shared" si="72"/>
        <v>0</v>
      </c>
      <c r="P317" s="145">
        <f t="shared" si="72"/>
        <v>0</v>
      </c>
      <c r="Q317" s="145">
        <f t="shared" si="72"/>
        <v>0.37097391060683016</v>
      </c>
      <c r="R317" s="145">
        <f t="shared" si="72"/>
        <v>0</v>
      </c>
      <c r="S317" s="145">
        <f t="shared" si="72"/>
        <v>0</v>
      </c>
      <c r="T317" s="145">
        <f t="shared" si="72"/>
        <v>0</v>
      </c>
      <c r="U317" s="145">
        <f t="shared" si="72"/>
        <v>0</v>
      </c>
      <c r="V317" s="145">
        <f t="shared" si="72"/>
        <v>0</v>
      </c>
      <c r="W317" s="145">
        <f t="shared" si="72"/>
        <v>0</v>
      </c>
      <c r="X317" s="145">
        <f t="shared" si="72"/>
        <v>0</v>
      </c>
      <c r="Y317" s="145">
        <f t="shared" si="72"/>
        <v>0</v>
      </c>
      <c r="AQ317" s="3"/>
    </row>
    <row r="318" spans="2:43" x14ac:dyDescent="0.35">
      <c r="C318" s="27"/>
      <c r="F318" s="62" t="s">
        <v>212</v>
      </c>
      <c r="G318" t="s">
        <v>167</v>
      </c>
      <c r="J318" s="317">
        <f t="shared" ref="J318:Y318" si="73">IF(J$39, J46, J$34)</f>
        <v>0.37097391060683016</v>
      </c>
      <c r="K318" s="317">
        <f t="shared" si="73"/>
        <v>0.37097391060683016</v>
      </c>
      <c r="L318" s="317">
        <f t="shared" si="73"/>
        <v>0.37097391060683016</v>
      </c>
      <c r="M318" s="317">
        <f t="shared" si="73"/>
        <v>0.37097391060683016</v>
      </c>
      <c r="N318" s="317">
        <f t="shared" si="73"/>
        <v>0.37097391060683016</v>
      </c>
      <c r="O318" s="317">
        <f t="shared" si="73"/>
        <v>0</v>
      </c>
      <c r="P318" s="317">
        <f t="shared" si="73"/>
        <v>0</v>
      </c>
      <c r="Q318" s="317">
        <f t="shared" si="73"/>
        <v>0.37097391060683016</v>
      </c>
      <c r="R318" s="317">
        <f t="shared" si="73"/>
        <v>1</v>
      </c>
      <c r="S318" s="317">
        <f t="shared" si="73"/>
        <v>1</v>
      </c>
      <c r="T318" s="317">
        <f t="shared" si="73"/>
        <v>1</v>
      </c>
      <c r="U318" s="317">
        <f t="shared" si="73"/>
        <v>1</v>
      </c>
      <c r="V318" s="317">
        <f t="shared" si="73"/>
        <v>1</v>
      </c>
      <c r="W318" s="317">
        <f t="shared" si="73"/>
        <v>1</v>
      </c>
      <c r="X318" s="317">
        <f t="shared" si="73"/>
        <v>1</v>
      </c>
      <c r="Y318" s="317">
        <f t="shared" si="73"/>
        <v>1</v>
      </c>
      <c r="AQ318" s="3"/>
    </row>
    <row r="319" spans="2:43" x14ac:dyDescent="0.35">
      <c r="C319" s="27"/>
      <c r="F319" s="62" t="s">
        <v>250</v>
      </c>
      <c r="G319" t="s">
        <v>167</v>
      </c>
      <c r="J319" s="317">
        <f t="shared" ref="J319:Y319" si="74">IF(J$39, J47, J$34)</f>
        <v>0.37097391060683016</v>
      </c>
      <c r="K319" s="317">
        <f t="shared" si="74"/>
        <v>0.37097391060683016</v>
      </c>
      <c r="L319" s="317">
        <f t="shared" si="74"/>
        <v>0.37097391060683016</v>
      </c>
      <c r="M319" s="317">
        <f t="shared" si="74"/>
        <v>0.37097391060683016</v>
      </c>
      <c r="N319" s="317">
        <f t="shared" si="74"/>
        <v>0.37097391060683016</v>
      </c>
      <c r="O319" s="317">
        <f t="shared" si="74"/>
        <v>0</v>
      </c>
      <c r="P319" s="317">
        <f t="shared" si="74"/>
        <v>0</v>
      </c>
      <c r="Q319" s="317">
        <f t="shared" si="74"/>
        <v>0.37097391060683016</v>
      </c>
      <c r="R319" s="317">
        <f t="shared" si="74"/>
        <v>0</v>
      </c>
      <c r="S319" s="317">
        <f t="shared" si="74"/>
        <v>0</v>
      </c>
      <c r="T319" s="317">
        <f t="shared" si="74"/>
        <v>0</v>
      </c>
      <c r="U319" s="317">
        <f t="shared" si="74"/>
        <v>0</v>
      </c>
      <c r="V319" s="317">
        <f t="shared" si="74"/>
        <v>0</v>
      </c>
      <c r="W319" s="317">
        <f t="shared" si="74"/>
        <v>0</v>
      </c>
      <c r="X319" s="317">
        <f t="shared" si="74"/>
        <v>0</v>
      </c>
      <c r="Y319" s="317">
        <f t="shared" si="74"/>
        <v>0</v>
      </c>
      <c r="AQ319" s="3"/>
    </row>
    <row r="320" spans="2:43" x14ac:dyDescent="0.35">
      <c r="C320" s="27"/>
      <c r="F320" s="62" t="s">
        <v>252</v>
      </c>
      <c r="G320" t="s">
        <v>167</v>
      </c>
      <c r="J320" s="317">
        <f t="shared" ref="J320:Y320" si="75">IF(J$39, J48, J$34)</f>
        <v>0.37097391060683016</v>
      </c>
      <c r="K320" s="317">
        <f t="shared" si="75"/>
        <v>0.37097391060683016</v>
      </c>
      <c r="L320" s="317">
        <f t="shared" si="75"/>
        <v>0.37097391060683016</v>
      </c>
      <c r="M320" s="317">
        <f t="shared" si="75"/>
        <v>0.37097391060683016</v>
      </c>
      <c r="N320" s="317">
        <f t="shared" si="75"/>
        <v>0.37097391060683016</v>
      </c>
      <c r="O320" s="317">
        <f t="shared" si="75"/>
        <v>0</v>
      </c>
      <c r="P320" s="317">
        <f t="shared" si="75"/>
        <v>0</v>
      </c>
      <c r="Q320" s="317">
        <f t="shared" si="75"/>
        <v>0.37097391060683016</v>
      </c>
      <c r="R320" s="317">
        <f t="shared" si="75"/>
        <v>0</v>
      </c>
      <c r="S320" s="317">
        <f t="shared" si="75"/>
        <v>0</v>
      </c>
      <c r="T320" s="317">
        <f t="shared" si="75"/>
        <v>0</v>
      </c>
      <c r="U320" s="317">
        <f t="shared" si="75"/>
        <v>0</v>
      </c>
      <c r="V320" s="317">
        <f t="shared" si="75"/>
        <v>0</v>
      </c>
      <c r="W320" s="317">
        <f t="shared" si="75"/>
        <v>0</v>
      </c>
      <c r="X320" s="317">
        <f t="shared" si="75"/>
        <v>0</v>
      </c>
      <c r="Y320" s="317">
        <f t="shared" si="75"/>
        <v>0</v>
      </c>
      <c r="AQ320" s="3"/>
    </row>
    <row r="321" spans="3:43" x14ac:dyDescent="0.35">
      <c r="C321" s="27"/>
      <c r="F321" s="70" t="s">
        <v>253</v>
      </c>
      <c r="G321" s="28" t="s">
        <v>167</v>
      </c>
      <c r="H321" s="28"/>
      <c r="I321" s="28"/>
      <c r="J321" s="145">
        <f t="shared" ref="J321:Y321" si="76">IF(J$39, J49, J$34)</f>
        <v>0.37097391060683016</v>
      </c>
      <c r="K321" s="145">
        <f t="shared" si="76"/>
        <v>0.37097391060683016</v>
      </c>
      <c r="L321" s="145">
        <f t="shared" si="76"/>
        <v>0.37097391060683016</v>
      </c>
      <c r="M321" s="145">
        <f t="shared" si="76"/>
        <v>0.37097391060683016</v>
      </c>
      <c r="N321" s="145">
        <f t="shared" si="76"/>
        <v>0.37097391060683016</v>
      </c>
      <c r="O321" s="145">
        <f t="shared" si="76"/>
        <v>0</v>
      </c>
      <c r="P321" s="145">
        <f t="shared" si="76"/>
        <v>0</v>
      </c>
      <c r="Q321" s="145">
        <f t="shared" si="76"/>
        <v>0.37097391060683016</v>
      </c>
      <c r="R321" s="145">
        <f t="shared" si="76"/>
        <v>0</v>
      </c>
      <c r="S321" s="145">
        <f t="shared" si="76"/>
        <v>0</v>
      </c>
      <c r="T321" s="145">
        <f t="shared" si="76"/>
        <v>0</v>
      </c>
      <c r="U321" s="145">
        <f t="shared" si="76"/>
        <v>0</v>
      </c>
      <c r="V321" s="145">
        <f t="shared" si="76"/>
        <v>0</v>
      </c>
      <c r="W321" s="145">
        <f t="shared" si="76"/>
        <v>0</v>
      </c>
      <c r="X321" s="145">
        <f t="shared" si="76"/>
        <v>0</v>
      </c>
      <c r="Y321" s="145">
        <f t="shared" si="76"/>
        <v>0</v>
      </c>
      <c r="AQ321" s="3"/>
    </row>
    <row r="322" spans="3:43" x14ac:dyDescent="0.35">
      <c r="C322" s="27"/>
      <c r="AQ322" s="3"/>
    </row>
    <row r="323" spans="3:43" x14ac:dyDescent="0.35">
      <c r="C323" s="27"/>
      <c r="E323" s="27" t="s">
        <v>450</v>
      </c>
      <c r="AQ323" s="3"/>
    </row>
    <row r="324" spans="3:43" x14ac:dyDescent="0.35">
      <c r="C324" s="27"/>
      <c r="F324" s="68" t="s">
        <v>247</v>
      </c>
      <c r="G324" s="19" t="s">
        <v>167</v>
      </c>
      <c r="H324" s="19"/>
      <c r="I324" s="19"/>
      <c r="J324" s="144">
        <f>IF(J$39, J$45, J$35)</f>
        <v>0.54529202281657996</v>
      </c>
      <c r="K324" s="144">
        <f t="shared" ref="K324:Y326" si="77">IF(K$39, K$45, K$35)</f>
        <v>0.54529202281657996</v>
      </c>
      <c r="L324" s="144">
        <f t="shared" si="77"/>
        <v>0.54529202281657996</v>
      </c>
      <c r="M324" s="144">
        <f t="shared" si="77"/>
        <v>0.54529202281657996</v>
      </c>
      <c r="N324" s="144">
        <f t="shared" si="77"/>
        <v>0.54529202281657996</v>
      </c>
      <c r="O324" s="144">
        <f t="shared" si="77"/>
        <v>0.25951924258539139</v>
      </c>
      <c r="P324" s="144">
        <f t="shared" si="77"/>
        <v>0.15142745426120777</v>
      </c>
      <c r="Q324" s="144">
        <f t="shared" si="77"/>
        <v>0.54529202281657996</v>
      </c>
      <c r="R324" s="144">
        <f t="shared" si="77"/>
        <v>0</v>
      </c>
      <c r="S324" s="144">
        <f t="shared" si="77"/>
        <v>0</v>
      </c>
      <c r="T324" s="144">
        <f t="shared" si="77"/>
        <v>0</v>
      </c>
      <c r="U324" s="144">
        <f t="shared" si="77"/>
        <v>0</v>
      </c>
      <c r="V324" s="144">
        <f t="shared" si="77"/>
        <v>0</v>
      </c>
      <c r="W324" s="144">
        <f t="shared" si="77"/>
        <v>0</v>
      </c>
      <c r="X324" s="144">
        <f t="shared" si="77"/>
        <v>0</v>
      </c>
      <c r="Y324" s="144">
        <f t="shared" si="77"/>
        <v>0</v>
      </c>
      <c r="AQ324" s="3"/>
    </row>
    <row r="325" spans="3:43" x14ac:dyDescent="0.35">
      <c r="C325" s="27"/>
      <c r="F325" s="62" t="s">
        <v>248</v>
      </c>
      <c r="G325" t="s">
        <v>167</v>
      </c>
      <c r="J325" s="317">
        <f t="shared" ref="J325:J326" si="78">IF(J$39, J$45, J$35)</f>
        <v>0.54529202281657996</v>
      </c>
      <c r="K325" s="317">
        <f t="shared" si="77"/>
        <v>0.54529202281657996</v>
      </c>
      <c r="L325" s="317">
        <f t="shared" si="77"/>
        <v>0.54529202281657996</v>
      </c>
      <c r="M325" s="317">
        <f t="shared" si="77"/>
        <v>0.54529202281657996</v>
      </c>
      <c r="N325" s="317">
        <f t="shared" si="77"/>
        <v>0.54529202281657996</v>
      </c>
      <c r="O325" s="317">
        <f t="shared" si="77"/>
        <v>0.25951924258539139</v>
      </c>
      <c r="P325" s="317">
        <f t="shared" si="77"/>
        <v>0.15142745426120777</v>
      </c>
      <c r="Q325" s="317">
        <f t="shared" si="77"/>
        <v>0.54529202281657996</v>
      </c>
      <c r="R325" s="317">
        <f t="shared" si="77"/>
        <v>0</v>
      </c>
      <c r="S325" s="317">
        <f t="shared" si="77"/>
        <v>0</v>
      </c>
      <c r="T325" s="317">
        <f t="shared" si="77"/>
        <v>0</v>
      </c>
      <c r="U325" s="317">
        <f t="shared" si="77"/>
        <v>0</v>
      </c>
      <c r="V325" s="317">
        <f t="shared" si="77"/>
        <v>0</v>
      </c>
      <c r="W325" s="317">
        <f t="shared" si="77"/>
        <v>0</v>
      </c>
      <c r="X325" s="317">
        <f t="shared" si="77"/>
        <v>0</v>
      </c>
      <c r="Y325" s="317">
        <f t="shared" si="77"/>
        <v>0</v>
      </c>
      <c r="AQ325" s="3"/>
    </row>
    <row r="326" spans="3:43" x14ac:dyDescent="0.35">
      <c r="C326" s="27"/>
      <c r="F326" s="70" t="s">
        <v>249</v>
      </c>
      <c r="G326" s="28" t="s">
        <v>167</v>
      </c>
      <c r="H326" s="28"/>
      <c r="I326" s="28"/>
      <c r="J326" s="145">
        <f t="shared" si="78"/>
        <v>0.54529202281657996</v>
      </c>
      <c r="K326" s="145">
        <f t="shared" si="77"/>
        <v>0.54529202281657996</v>
      </c>
      <c r="L326" s="145">
        <f t="shared" si="77"/>
        <v>0.54529202281657996</v>
      </c>
      <c r="M326" s="145">
        <f t="shared" si="77"/>
        <v>0.54529202281657996</v>
      </c>
      <c r="N326" s="145">
        <f t="shared" si="77"/>
        <v>0.54529202281657996</v>
      </c>
      <c r="O326" s="145">
        <f t="shared" si="77"/>
        <v>0.25951924258539139</v>
      </c>
      <c r="P326" s="145">
        <f t="shared" si="77"/>
        <v>0.15142745426120777</v>
      </c>
      <c r="Q326" s="145">
        <f t="shared" si="77"/>
        <v>0.54529202281657996</v>
      </c>
      <c r="R326" s="145">
        <f t="shared" si="77"/>
        <v>0</v>
      </c>
      <c r="S326" s="145">
        <f t="shared" si="77"/>
        <v>0</v>
      </c>
      <c r="T326" s="145">
        <f t="shared" si="77"/>
        <v>0</v>
      </c>
      <c r="U326" s="145">
        <f t="shared" si="77"/>
        <v>0</v>
      </c>
      <c r="V326" s="145">
        <f t="shared" si="77"/>
        <v>0</v>
      </c>
      <c r="W326" s="145">
        <f t="shared" si="77"/>
        <v>0</v>
      </c>
      <c r="X326" s="145">
        <f t="shared" si="77"/>
        <v>0</v>
      </c>
      <c r="Y326" s="145">
        <f t="shared" si="77"/>
        <v>0</v>
      </c>
      <c r="AQ326" s="3"/>
    </row>
    <row r="327" spans="3:43" x14ac:dyDescent="0.35">
      <c r="C327" s="27"/>
      <c r="F327" s="62" t="s">
        <v>212</v>
      </c>
      <c r="G327" t="s">
        <v>167</v>
      </c>
      <c r="J327" s="317">
        <f t="shared" ref="J327:Y327" si="79">IF(J$39, J46, J$35)</f>
        <v>0.54529202281657996</v>
      </c>
      <c r="K327" s="317">
        <f t="shared" si="79"/>
        <v>0.54529202281657996</v>
      </c>
      <c r="L327" s="317">
        <f t="shared" si="79"/>
        <v>0.54529202281657996</v>
      </c>
      <c r="M327" s="317">
        <f t="shared" si="79"/>
        <v>0.54529202281657996</v>
      </c>
      <c r="N327" s="317">
        <f t="shared" si="79"/>
        <v>0.54529202281657996</v>
      </c>
      <c r="O327" s="317">
        <f t="shared" si="79"/>
        <v>0.25951924258539139</v>
      </c>
      <c r="P327" s="317">
        <f t="shared" si="79"/>
        <v>0.15142745426120777</v>
      </c>
      <c r="Q327" s="317">
        <f t="shared" si="79"/>
        <v>0.54529202281657996</v>
      </c>
      <c r="R327" s="317">
        <f t="shared" si="79"/>
        <v>1</v>
      </c>
      <c r="S327" s="317">
        <f t="shared" si="79"/>
        <v>1</v>
      </c>
      <c r="T327" s="317">
        <f t="shared" si="79"/>
        <v>1</v>
      </c>
      <c r="U327" s="317">
        <f t="shared" si="79"/>
        <v>1</v>
      </c>
      <c r="V327" s="317">
        <f t="shared" si="79"/>
        <v>1</v>
      </c>
      <c r="W327" s="317">
        <f t="shared" si="79"/>
        <v>1</v>
      </c>
      <c r="X327" s="317">
        <f t="shared" si="79"/>
        <v>1</v>
      </c>
      <c r="Y327" s="317">
        <f t="shared" si="79"/>
        <v>1</v>
      </c>
      <c r="AQ327" s="3"/>
    </row>
    <row r="328" spans="3:43" x14ac:dyDescent="0.35">
      <c r="C328" s="27"/>
      <c r="F328" s="62" t="s">
        <v>250</v>
      </c>
      <c r="G328" t="s">
        <v>167</v>
      </c>
      <c r="J328" s="317">
        <f t="shared" ref="J328:Y328" si="80">IF(J$39, J47, J$35)</f>
        <v>0.54529202281657996</v>
      </c>
      <c r="K328" s="317">
        <f t="shared" si="80"/>
        <v>0.54529202281657996</v>
      </c>
      <c r="L328" s="317">
        <f t="shared" si="80"/>
        <v>0.54529202281657996</v>
      </c>
      <c r="M328" s="317">
        <f t="shared" si="80"/>
        <v>0.54529202281657996</v>
      </c>
      <c r="N328" s="317">
        <f t="shared" si="80"/>
        <v>0.54529202281657996</v>
      </c>
      <c r="O328" s="317">
        <f t="shared" si="80"/>
        <v>0.25951924258539139</v>
      </c>
      <c r="P328" s="317">
        <f t="shared" si="80"/>
        <v>0.15142745426120777</v>
      </c>
      <c r="Q328" s="317">
        <f t="shared" si="80"/>
        <v>0.54529202281657996</v>
      </c>
      <c r="R328" s="317">
        <f t="shared" si="80"/>
        <v>0</v>
      </c>
      <c r="S328" s="317">
        <f t="shared" si="80"/>
        <v>0</v>
      </c>
      <c r="T328" s="317">
        <f t="shared" si="80"/>
        <v>0</v>
      </c>
      <c r="U328" s="317">
        <f t="shared" si="80"/>
        <v>0</v>
      </c>
      <c r="V328" s="317">
        <f t="shared" si="80"/>
        <v>0</v>
      </c>
      <c r="W328" s="317">
        <f t="shared" si="80"/>
        <v>0</v>
      </c>
      <c r="X328" s="317">
        <f t="shared" si="80"/>
        <v>0</v>
      </c>
      <c r="Y328" s="317">
        <f t="shared" si="80"/>
        <v>0</v>
      </c>
      <c r="AQ328" s="3"/>
    </row>
    <row r="329" spans="3:43" x14ac:dyDescent="0.35">
      <c r="C329" s="27"/>
      <c r="F329" s="62" t="s">
        <v>252</v>
      </c>
      <c r="G329" t="s">
        <v>167</v>
      </c>
      <c r="J329" s="317">
        <f t="shared" ref="J329:Y329" si="81">IF(J$39, J48, J$35)</f>
        <v>0.54529202281657996</v>
      </c>
      <c r="K329" s="317">
        <f t="shared" si="81"/>
        <v>0.54529202281657996</v>
      </c>
      <c r="L329" s="317">
        <f t="shared" si="81"/>
        <v>0.54529202281657996</v>
      </c>
      <c r="M329" s="317">
        <f t="shared" si="81"/>
        <v>0.54529202281657996</v>
      </c>
      <c r="N329" s="317">
        <f t="shared" si="81"/>
        <v>0.54529202281657996</v>
      </c>
      <c r="O329" s="317">
        <f t="shared" si="81"/>
        <v>0.25951924258539139</v>
      </c>
      <c r="P329" s="317">
        <f t="shared" si="81"/>
        <v>0.15142745426120777</v>
      </c>
      <c r="Q329" s="317">
        <f t="shared" si="81"/>
        <v>0.54529202281657996</v>
      </c>
      <c r="R329" s="317">
        <f t="shared" si="81"/>
        <v>0</v>
      </c>
      <c r="S329" s="317">
        <f t="shared" si="81"/>
        <v>0</v>
      </c>
      <c r="T329" s="317">
        <f t="shared" si="81"/>
        <v>0</v>
      </c>
      <c r="U329" s="317">
        <f t="shared" si="81"/>
        <v>0</v>
      </c>
      <c r="V329" s="317">
        <f t="shared" si="81"/>
        <v>0</v>
      </c>
      <c r="W329" s="317">
        <f t="shared" si="81"/>
        <v>0</v>
      </c>
      <c r="X329" s="317">
        <f t="shared" si="81"/>
        <v>0</v>
      </c>
      <c r="Y329" s="317">
        <f t="shared" si="81"/>
        <v>0</v>
      </c>
      <c r="AQ329" s="3"/>
    </row>
    <row r="330" spans="3:43" x14ac:dyDescent="0.35">
      <c r="C330" s="27"/>
      <c r="F330" s="70" t="s">
        <v>253</v>
      </c>
      <c r="G330" s="28" t="s">
        <v>167</v>
      </c>
      <c r="H330" s="28"/>
      <c r="I330" s="28"/>
      <c r="J330" s="145">
        <f t="shared" ref="J330:Y330" si="82">IF(J$39, J49, J$35)</f>
        <v>0.54529202281657996</v>
      </c>
      <c r="K330" s="145">
        <f t="shared" si="82"/>
        <v>0.54529202281657996</v>
      </c>
      <c r="L330" s="145">
        <f t="shared" si="82"/>
        <v>0.54529202281657996</v>
      </c>
      <c r="M330" s="145">
        <f t="shared" si="82"/>
        <v>0.54529202281657996</v>
      </c>
      <c r="N330" s="145">
        <f t="shared" si="82"/>
        <v>0.54529202281657996</v>
      </c>
      <c r="O330" s="145">
        <f t="shared" si="82"/>
        <v>0.25951924258539139</v>
      </c>
      <c r="P330" s="145">
        <f t="shared" si="82"/>
        <v>0.15142745426120777</v>
      </c>
      <c r="Q330" s="145">
        <f t="shared" si="82"/>
        <v>0.54529202281657996</v>
      </c>
      <c r="R330" s="145">
        <f t="shared" si="82"/>
        <v>0</v>
      </c>
      <c r="S330" s="145">
        <f t="shared" si="82"/>
        <v>0</v>
      </c>
      <c r="T330" s="145">
        <f t="shared" si="82"/>
        <v>0</v>
      </c>
      <c r="U330" s="145">
        <f t="shared" si="82"/>
        <v>0</v>
      </c>
      <c r="V330" s="145">
        <f t="shared" si="82"/>
        <v>0</v>
      </c>
      <c r="W330" s="145">
        <f t="shared" si="82"/>
        <v>0</v>
      </c>
      <c r="X330" s="145">
        <f t="shared" si="82"/>
        <v>0</v>
      </c>
      <c r="Y330" s="145">
        <f t="shared" si="82"/>
        <v>0</v>
      </c>
      <c r="AQ330" s="3"/>
    </row>
    <row r="331" spans="3:43" x14ac:dyDescent="0.35">
      <c r="C331" s="27"/>
      <c r="AQ331" s="3"/>
    </row>
    <row r="332" spans="3:43" x14ac:dyDescent="0.35">
      <c r="C332" s="26" t="str">
        <f ca="1">INDEX('Version control'!$H$38:$H$61,MATCH($A$1,'Version control'!$F$38:$F$61,0),1)&amp;"-D: No residual volume discounting"</f>
        <v>Section 104-D: No residual volume discounting</v>
      </c>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Q332" s="3"/>
    </row>
    <row r="333" spans="3:43" x14ac:dyDescent="0.35">
      <c r="C333" s="27"/>
      <c r="AQ333" s="3"/>
    </row>
    <row r="334" spans="3:43" x14ac:dyDescent="0.35">
      <c r="E334" s="27" t="s">
        <v>966</v>
      </c>
      <c r="G334" s="12"/>
      <c r="I334" t="s">
        <v>154</v>
      </c>
      <c r="AQ334" s="3"/>
    </row>
    <row r="335" spans="3:43" x14ac:dyDescent="0.35">
      <c r="E335" s="27"/>
      <c r="F335" s="68" t="s">
        <v>247</v>
      </c>
      <c r="G335" s="68" t="s">
        <v>207</v>
      </c>
      <c r="H335" s="19"/>
      <c r="I335" s="19"/>
      <c r="J335" s="73"/>
      <c r="K335" s="116">
        <f t="shared" ref="K335:P341" si="83">(1 - K315) * K105</f>
        <v>0</v>
      </c>
      <c r="L335" s="116">
        <f t="shared" si="83"/>
        <v>0.28052052854074572</v>
      </c>
      <c r="M335" s="116">
        <f t="shared" si="83"/>
        <v>8.8009186705734379</v>
      </c>
      <c r="N335" s="116">
        <f t="shared" si="83"/>
        <v>0</v>
      </c>
      <c r="O335" s="116">
        <f t="shared" si="83"/>
        <v>0</v>
      </c>
      <c r="P335" s="116">
        <f t="shared" si="83"/>
        <v>0</v>
      </c>
      <c r="Q335" s="73"/>
      <c r="R335" s="116">
        <f t="shared" ref="R335:Y341" si="84">(1 - R315) * R105</f>
        <v>29.156000000000002</v>
      </c>
      <c r="S335" s="116">
        <f t="shared" si="84"/>
        <v>0</v>
      </c>
      <c r="T335" s="116">
        <f t="shared" si="84"/>
        <v>5.6150000000000002</v>
      </c>
      <c r="U335" s="116">
        <f t="shared" si="84"/>
        <v>0</v>
      </c>
      <c r="V335" s="116">
        <f t="shared" si="84"/>
        <v>0</v>
      </c>
      <c r="W335" s="116">
        <f t="shared" si="84"/>
        <v>0</v>
      </c>
      <c r="X335" s="116">
        <f t="shared" si="84"/>
        <v>0</v>
      </c>
      <c r="Y335" s="116">
        <f t="shared" si="84"/>
        <v>0</v>
      </c>
      <c r="AQ335" s="3"/>
    </row>
    <row r="336" spans="3:43" x14ac:dyDescent="0.35">
      <c r="E336" s="27"/>
      <c r="F336" s="62" t="s">
        <v>248</v>
      </c>
      <c r="G336" s="62" t="s">
        <v>207</v>
      </c>
      <c r="J336" s="316"/>
      <c r="K336" s="315">
        <f t="shared" si="83"/>
        <v>0</v>
      </c>
      <c r="L336" s="315">
        <f t="shared" si="83"/>
        <v>1.761912052617963</v>
      </c>
      <c r="M336" s="315">
        <f t="shared" si="83"/>
        <v>52.960303184673911</v>
      </c>
      <c r="N336" s="315">
        <f t="shared" si="83"/>
        <v>0</v>
      </c>
      <c r="O336" s="315">
        <f t="shared" si="83"/>
        <v>0</v>
      </c>
      <c r="P336" s="315">
        <f t="shared" si="83"/>
        <v>0</v>
      </c>
      <c r="Q336" s="316"/>
      <c r="R336" s="315">
        <f t="shared" si="84"/>
        <v>236.631</v>
      </c>
      <c r="S336" s="315">
        <f t="shared" si="84"/>
        <v>0</v>
      </c>
      <c r="T336" s="315">
        <f t="shared" si="84"/>
        <v>64.233000000000004</v>
      </c>
      <c r="U336" s="315">
        <f t="shared" si="84"/>
        <v>0</v>
      </c>
      <c r="V336" s="315">
        <f t="shared" si="84"/>
        <v>0</v>
      </c>
      <c r="W336" s="315">
        <f t="shared" si="84"/>
        <v>0</v>
      </c>
      <c r="X336" s="315">
        <f t="shared" si="84"/>
        <v>0</v>
      </c>
      <c r="Y336" s="315">
        <f t="shared" si="84"/>
        <v>0</v>
      </c>
      <c r="AQ336" s="3"/>
    </row>
    <row r="337" spans="5:43" x14ac:dyDescent="0.35">
      <c r="E337" s="27"/>
      <c r="F337" s="62" t="s">
        <v>249</v>
      </c>
      <c r="G337" s="62" t="s">
        <v>207</v>
      </c>
      <c r="J337" s="316"/>
      <c r="K337" s="315">
        <f t="shared" si="83"/>
        <v>0</v>
      </c>
      <c r="L337" s="315">
        <f t="shared" si="83"/>
        <v>0.82105261785331718</v>
      </c>
      <c r="M337" s="315">
        <f t="shared" si="83"/>
        <v>23.972670845179454</v>
      </c>
      <c r="N337" s="315">
        <f t="shared" si="83"/>
        <v>0</v>
      </c>
      <c r="O337" s="315">
        <f t="shared" si="83"/>
        <v>0</v>
      </c>
      <c r="P337" s="315">
        <f t="shared" si="83"/>
        <v>0</v>
      </c>
      <c r="Q337" s="316"/>
      <c r="R337" s="315">
        <f t="shared" si="84"/>
        <v>21.694000000000003</v>
      </c>
      <c r="S337" s="315">
        <f t="shared" si="84"/>
        <v>0</v>
      </c>
      <c r="T337" s="315">
        <f t="shared" si="84"/>
        <v>2.7059999999999991</v>
      </c>
      <c r="U337" s="315">
        <f t="shared" si="84"/>
        <v>0</v>
      </c>
      <c r="V337" s="315">
        <f t="shared" si="84"/>
        <v>0</v>
      </c>
      <c r="W337" s="315">
        <f t="shared" si="84"/>
        <v>0</v>
      </c>
      <c r="X337" s="315">
        <f t="shared" si="84"/>
        <v>0</v>
      </c>
      <c r="Y337" s="315">
        <f t="shared" si="84"/>
        <v>0</v>
      </c>
      <c r="AQ337" s="3"/>
    </row>
    <row r="338" spans="5:43" x14ac:dyDescent="0.35">
      <c r="E338" s="27"/>
      <c r="F338" s="62" t="s">
        <v>212</v>
      </c>
      <c r="G338" s="62" t="s">
        <v>212</v>
      </c>
      <c r="J338" s="316"/>
      <c r="K338" s="315">
        <f t="shared" si="83"/>
        <v>0</v>
      </c>
      <c r="L338" s="315">
        <f t="shared" si="83"/>
        <v>0.7352709336897062</v>
      </c>
      <c r="M338" s="315">
        <f t="shared" si="83"/>
        <v>1.9095434856578366</v>
      </c>
      <c r="N338" s="315">
        <f t="shared" si="83"/>
        <v>0</v>
      </c>
      <c r="O338" s="315">
        <f t="shared" si="83"/>
        <v>0</v>
      </c>
      <c r="P338" s="315">
        <f t="shared" si="83"/>
        <v>0</v>
      </c>
      <c r="Q338" s="316"/>
      <c r="R338" s="315">
        <f t="shared" si="84"/>
        <v>0</v>
      </c>
      <c r="S338" s="315">
        <f t="shared" si="84"/>
        <v>0</v>
      </c>
      <c r="T338" s="315">
        <f t="shared" si="84"/>
        <v>0</v>
      </c>
      <c r="U338" s="315">
        <f t="shared" si="84"/>
        <v>0</v>
      </c>
      <c r="V338" s="315">
        <f t="shared" si="84"/>
        <v>0</v>
      </c>
      <c r="W338" s="315">
        <f t="shared" si="84"/>
        <v>0</v>
      </c>
      <c r="X338" s="315">
        <f t="shared" si="84"/>
        <v>0</v>
      </c>
      <c r="Y338" s="315">
        <f t="shared" si="84"/>
        <v>0</v>
      </c>
      <c r="AQ338" s="3"/>
    </row>
    <row r="339" spans="5:43" x14ac:dyDescent="0.35">
      <c r="E339" s="27"/>
      <c r="F339" s="62" t="s">
        <v>250</v>
      </c>
      <c r="G339" s="62" t="s">
        <v>251</v>
      </c>
      <c r="J339" s="316"/>
      <c r="K339" s="315">
        <f t="shared" si="83"/>
        <v>0</v>
      </c>
      <c r="L339" s="315">
        <f t="shared" si="83"/>
        <v>0</v>
      </c>
      <c r="M339" s="315">
        <f t="shared" si="83"/>
        <v>0</v>
      </c>
      <c r="N339" s="315">
        <f t="shared" si="83"/>
        <v>0</v>
      </c>
      <c r="O339" s="315">
        <f t="shared" si="83"/>
        <v>0</v>
      </c>
      <c r="P339" s="315">
        <f t="shared" si="83"/>
        <v>0</v>
      </c>
      <c r="Q339" s="316"/>
      <c r="R339" s="315">
        <f t="shared" si="84"/>
        <v>0</v>
      </c>
      <c r="S339" s="315">
        <f t="shared" si="84"/>
        <v>0</v>
      </c>
      <c r="T339" s="315">
        <f t="shared" si="84"/>
        <v>0</v>
      </c>
      <c r="U339" s="315">
        <f t="shared" si="84"/>
        <v>0</v>
      </c>
      <c r="V339" s="315">
        <f t="shared" si="84"/>
        <v>0</v>
      </c>
      <c r="W339" s="315">
        <f t="shared" si="84"/>
        <v>0</v>
      </c>
      <c r="X339" s="315">
        <f t="shared" si="84"/>
        <v>0</v>
      </c>
      <c r="Y339" s="315">
        <f t="shared" si="84"/>
        <v>0</v>
      </c>
      <c r="AQ339" s="3"/>
    </row>
    <row r="340" spans="5:43" x14ac:dyDescent="0.35">
      <c r="E340" s="27"/>
      <c r="F340" s="62" t="s">
        <v>252</v>
      </c>
      <c r="G340" s="62" t="s">
        <v>251</v>
      </c>
      <c r="J340" s="316"/>
      <c r="K340" s="315">
        <f t="shared" si="83"/>
        <v>0</v>
      </c>
      <c r="L340" s="315">
        <f t="shared" si="83"/>
        <v>0</v>
      </c>
      <c r="M340" s="315">
        <f t="shared" si="83"/>
        <v>0</v>
      </c>
      <c r="N340" s="315">
        <f t="shared" si="83"/>
        <v>0</v>
      </c>
      <c r="O340" s="315">
        <f t="shared" si="83"/>
        <v>0</v>
      </c>
      <c r="P340" s="315">
        <f t="shared" si="83"/>
        <v>0</v>
      </c>
      <c r="Q340" s="316"/>
      <c r="R340" s="315">
        <f t="shared" si="84"/>
        <v>0</v>
      </c>
      <c r="S340" s="315">
        <f t="shared" si="84"/>
        <v>0</v>
      </c>
      <c r="T340" s="315">
        <f t="shared" si="84"/>
        <v>0</v>
      </c>
      <c r="U340" s="315">
        <f t="shared" si="84"/>
        <v>0</v>
      </c>
      <c r="V340" s="315">
        <f t="shared" si="84"/>
        <v>0</v>
      </c>
      <c r="W340" s="315">
        <f t="shared" si="84"/>
        <v>0</v>
      </c>
      <c r="X340" s="315">
        <f t="shared" si="84"/>
        <v>0</v>
      </c>
      <c r="Y340" s="315">
        <f t="shared" si="84"/>
        <v>0</v>
      </c>
      <c r="AQ340" s="3"/>
    </row>
    <row r="341" spans="5:43" x14ac:dyDescent="0.35">
      <c r="E341" s="27"/>
      <c r="F341" s="70" t="s">
        <v>253</v>
      </c>
      <c r="G341" s="70" t="s">
        <v>254</v>
      </c>
      <c r="H341" s="28"/>
      <c r="I341" s="28"/>
      <c r="J341" s="71"/>
      <c r="K341" s="90">
        <f t="shared" si="83"/>
        <v>0</v>
      </c>
      <c r="L341" s="90">
        <f t="shared" si="83"/>
        <v>0</v>
      </c>
      <c r="M341" s="90">
        <f t="shared" si="83"/>
        <v>0</v>
      </c>
      <c r="N341" s="90">
        <f t="shared" si="83"/>
        <v>0</v>
      </c>
      <c r="O341" s="90">
        <f t="shared" si="83"/>
        <v>0</v>
      </c>
      <c r="P341" s="90">
        <f t="shared" si="83"/>
        <v>0</v>
      </c>
      <c r="Q341" s="71"/>
      <c r="R341" s="90">
        <f t="shared" si="84"/>
        <v>0</v>
      </c>
      <c r="S341" s="90">
        <f t="shared" si="84"/>
        <v>0</v>
      </c>
      <c r="T341" s="90">
        <f t="shared" si="84"/>
        <v>1.3384781668828363</v>
      </c>
      <c r="U341" s="90">
        <f t="shared" si="84"/>
        <v>0</v>
      </c>
      <c r="V341" s="90">
        <f t="shared" si="84"/>
        <v>0</v>
      </c>
      <c r="W341" s="90">
        <f t="shared" si="84"/>
        <v>0</v>
      </c>
      <c r="X341" s="90">
        <f t="shared" si="84"/>
        <v>0</v>
      </c>
      <c r="Y341" s="90">
        <f t="shared" si="84"/>
        <v>0</v>
      </c>
      <c r="AQ341" s="3"/>
    </row>
    <row r="342" spans="5:43" x14ac:dyDescent="0.35">
      <c r="AQ342" s="3"/>
    </row>
    <row r="343" spans="5:43" x14ac:dyDescent="0.35">
      <c r="E343" s="27" t="s">
        <v>967</v>
      </c>
      <c r="G343" s="12"/>
      <c r="I343" t="s">
        <v>154</v>
      </c>
      <c r="AQ343" s="3"/>
    </row>
    <row r="344" spans="5:43" x14ac:dyDescent="0.35">
      <c r="E344" s="27"/>
      <c r="F344" s="68" t="s">
        <v>247</v>
      </c>
      <c r="G344" s="68" t="s">
        <v>207</v>
      </c>
      <c r="H344" s="19"/>
      <c r="I344" s="19"/>
      <c r="J344" s="73"/>
      <c r="K344" s="116">
        <f t="shared" ref="K344:P350" si="85">(1 - K324) * K152</f>
        <v>58.667861927604569</v>
      </c>
      <c r="L344" s="116">
        <f t="shared" si="85"/>
        <v>254.93546962611995</v>
      </c>
      <c r="M344" s="116">
        <f t="shared" si="85"/>
        <v>12.80692520932514</v>
      </c>
      <c r="N344" s="116">
        <f t="shared" si="85"/>
        <v>0</v>
      </c>
      <c r="O344" s="116">
        <f t="shared" si="85"/>
        <v>0</v>
      </c>
      <c r="P344" s="116">
        <f t="shared" si="85"/>
        <v>0</v>
      </c>
      <c r="Q344" s="73"/>
      <c r="R344" s="116">
        <f t="shared" ref="R344:Y350" si="86">(1 - R324) * R152</f>
        <v>0.13300000000000001</v>
      </c>
      <c r="S344" s="116">
        <f t="shared" si="86"/>
        <v>15.433999999999999</v>
      </c>
      <c r="T344" s="116">
        <f t="shared" si="86"/>
        <v>1327.0888980075765</v>
      </c>
      <c r="U344" s="116">
        <f t="shared" si="86"/>
        <v>0</v>
      </c>
      <c r="V344" s="116">
        <f t="shared" si="86"/>
        <v>0</v>
      </c>
      <c r="W344" s="116">
        <f t="shared" si="86"/>
        <v>0</v>
      </c>
      <c r="X344" s="116">
        <f t="shared" si="86"/>
        <v>26.351155247183883</v>
      </c>
      <c r="Y344" s="116">
        <f t="shared" si="86"/>
        <v>0</v>
      </c>
      <c r="AQ344" s="3"/>
    </row>
    <row r="345" spans="5:43" x14ac:dyDescent="0.35">
      <c r="E345" s="27"/>
      <c r="F345" s="62" t="s">
        <v>248</v>
      </c>
      <c r="G345" s="62" t="s">
        <v>207</v>
      </c>
      <c r="J345" s="316"/>
      <c r="K345" s="315">
        <f t="shared" si="85"/>
        <v>283.66947182220986</v>
      </c>
      <c r="L345" s="315">
        <f t="shared" si="85"/>
        <v>1607.4549165313776</v>
      </c>
      <c r="M345" s="315">
        <f t="shared" si="85"/>
        <v>77.898645235812168</v>
      </c>
      <c r="N345" s="315">
        <f t="shared" si="85"/>
        <v>0</v>
      </c>
      <c r="O345" s="315">
        <f t="shared" si="85"/>
        <v>0</v>
      </c>
      <c r="P345" s="315">
        <f t="shared" si="85"/>
        <v>0</v>
      </c>
      <c r="Q345" s="316"/>
      <c r="R345" s="315">
        <f t="shared" si="86"/>
        <v>7.3179999999999996</v>
      </c>
      <c r="S345" s="315">
        <f t="shared" si="86"/>
        <v>1.6240000000000001</v>
      </c>
      <c r="T345" s="315">
        <f t="shared" si="86"/>
        <v>5782.7279852995352</v>
      </c>
      <c r="U345" s="315">
        <f t="shared" si="86"/>
        <v>0</v>
      </c>
      <c r="V345" s="315">
        <f t="shared" si="86"/>
        <v>0</v>
      </c>
      <c r="W345" s="315">
        <f t="shared" si="86"/>
        <v>0</v>
      </c>
      <c r="X345" s="315">
        <f t="shared" si="86"/>
        <v>165.84055989272863</v>
      </c>
      <c r="Y345" s="315">
        <f t="shared" si="86"/>
        <v>0</v>
      </c>
      <c r="AQ345" s="3"/>
    </row>
    <row r="346" spans="5:43" x14ac:dyDescent="0.35">
      <c r="E346" s="27"/>
      <c r="F346" s="62" t="s">
        <v>249</v>
      </c>
      <c r="G346" s="62" t="s">
        <v>207</v>
      </c>
      <c r="J346" s="316"/>
      <c r="K346" s="315">
        <f t="shared" si="85"/>
        <v>265.66380077746078</v>
      </c>
      <c r="L346" s="315">
        <f t="shared" si="85"/>
        <v>717.66485530546299</v>
      </c>
      <c r="M346" s="315">
        <f t="shared" si="85"/>
        <v>38.901090710014579</v>
      </c>
      <c r="N346" s="315">
        <f t="shared" si="85"/>
        <v>0</v>
      </c>
      <c r="O346" s="315">
        <f t="shared" si="85"/>
        <v>0</v>
      </c>
      <c r="P346" s="315">
        <f t="shared" si="85"/>
        <v>0</v>
      </c>
      <c r="Q346" s="316"/>
      <c r="R346" s="315">
        <f t="shared" si="86"/>
        <v>0.28999999999999998</v>
      </c>
      <c r="S346" s="315">
        <f t="shared" si="86"/>
        <v>0</v>
      </c>
      <c r="T346" s="315">
        <f t="shared" si="86"/>
        <v>2767.2356585674361</v>
      </c>
      <c r="U346" s="315">
        <f t="shared" si="86"/>
        <v>0</v>
      </c>
      <c r="V346" s="315">
        <f t="shared" si="86"/>
        <v>0</v>
      </c>
      <c r="W346" s="315">
        <f t="shared" si="86"/>
        <v>0</v>
      </c>
      <c r="X346" s="315">
        <f t="shared" si="86"/>
        <v>72.935642648769161</v>
      </c>
      <c r="Y346" s="315">
        <f t="shared" si="86"/>
        <v>0</v>
      </c>
      <c r="AQ346" s="3"/>
    </row>
    <row r="347" spans="5:43" x14ac:dyDescent="0.35">
      <c r="E347" s="27"/>
      <c r="F347" s="62" t="s">
        <v>212</v>
      </c>
      <c r="G347" s="62" t="s">
        <v>212</v>
      </c>
      <c r="J347" s="316"/>
      <c r="K347" s="315">
        <f t="shared" si="85"/>
        <v>242.58670582735459</v>
      </c>
      <c r="L347" s="315">
        <f t="shared" si="85"/>
        <v>0</v>
      </c>
      <c r="M347" s="315">
        <f t="shared" si="85"/>
        <v>0</v>
      </c>
      <c r="N347" s="315">
        <f t="shared" si="85"/>
        <v>0</v>
      </c>
      <c r="O347" s="315">
        <f t="shared" si="85"/>
        <v>0</v>
      </c>
      <c r="P347" s="315">
        <f t="shared" si="85"/>
        <v>0</v>
      </c>
      <c r="Q347" s="316"/>
      <c r="R347" s="315">
        <f t="shared" si="86"/>
        <v>0</v>
      </c>
      <c r="S347" s="315">
        <f t="shared" si="86"/>
        <v>0</v>
      </c>
      <c r="T347" s="315">
        <f t="shared" si="86"/>
        <v>0</v>
      </c>
      <c r="U347" s="315">
        <f t="shared" si="86"/>
        <v>0</v>
      </c>
      <c r="V347" s="315">
        <f t="shared" si="86"/>
        <v>0</v>
      </c>
      <c r="W347" s="315">
        <f t="shared" si="86"/>
        <v>0</v>
      </c>
      <c r="X347" s="315">
        <f t="shared" si="86"/>
        <v>0</v>
      </c>
      <c r="Y347" s="315">
        <f t="shared" si="86"/>
        <v>0</v>
      </c>
      <c r="AQ347" s="3"/>
    </row>
    <row r="348" spans="5:43" x14ac:dyDescent="0.35">
      <c r="E348" s="27"/>
      <c r="F348" s="62" t="s">
        <v>250</v>
      </c>
      <c r="G348" s="62" t="s">
        <v>251</v>
      </c>
      <c r="J348" s="316"/>
      <c r="K348" s="315">
        <f t="shared" si="85"/>
        <v>0</v>
      </c>
      <c r="L348" s="315">
        <f t="shared" si="85"/>
        <v>0</v>
      </c>
      <c r="M348" s="315">
        <f t="shared" si="85"/>
        <v>0</v>
      </c>
      <c r="N348" s="315">
        <f t="shared" si="85"/>
        <v>0</v>
      </c>
      <c r="O348" s="315">
        <f t="shared" si="85"/>
        <v>0</v>
      </c>
      <c r="P348" s="315">
        <f t="shared" si="85"/>
        <v>17.579966999151786</v>
      </c>
      <c r="Q348" s="316"/>
      <c r="R348" s="315">
        <f t="shared" si="86"/>
        <v>0</v>
      </c>
      <c r="S348" s="315">
        <f t="shared" si="86"/>
        <v>0</v>
      </c>
      <c r="T348" s="315">
        <f t="shared" si="86"/>
        <v>0</v>
      </c>
      <c r="U348" s="315">
        <f t="shared" si="86"/>
        <v>0</v>
      </c>
      <c r="V348" s="315">
        <f t="shared" si="86"/>
        <v>0</v>
      </c>
      <c r="W348" s="315">
        <f t="shared" si="86"/>
        <v>0</v>
      </c>
      <c r="X348" s="315">
        <f t="shared" si="86"/>
        <v>0</v>
      </c>
      <c r="Y348" s="315">
        <f t="shared" si="86"/>
        <v>0</v>
      </c>
      <c r="AQ348" s="3"/>
    </row>
    <row r="349" spans="5:43" x14ac:dyDescent="0.35">
      <c r="E349" s="27"/>
      <c r="F349" s="62" t="s">
        <v>252</v>
      </c>
      <c r="G349" s="62" t="s">
        <v>251</v>
      </c>
      <c r="J349" s="316"/>
      <c r="K349" s="315">
        <f t="shared" si="85"/>
        <v>0</v>
      </c>
      <c r="L349" s="315">
        <f t="shared" si="85"/>
        <v>0</v>
      </c>
      <c r="M349" s="315">
        <f t="shared" si="85"/>
        <v>0</v>
      </c>
      <c r="N349" s="315">
        <f t="shared" si="85"/>
        <v>0</v>
      </c>
      <c r="O349" s="315">
        <f t="shared" si="85"/>
        <v>0</v>
      </c>
      <c r="P349" s="315">
        <f t="shared" si="85"/>
        <v>0.40220285385509746</v>
      </c>
      <c r="Q349" s="316"/>
      <c r="R349" s="315">
        <f t="shared" si="86"/>
        <v>0</v>
      </c>
      <c r="S349" s="315">
        <f t="shared" si="86"/>
        <v>0</v>
      </c>
      <c r="T349" s="315">
        <f t="shared" si="86"/>
        <v>0</v>
      </c>
      <c r="U349" s="315">
        <f t="shared" si="86"/>
        <v>0</v>
      </c>
      <c r="V349" s="315">
        <f t="shared" si="86"/>
        <v>0</v>
      </c>
      <c r="W349" s="315">
        <f t="shared" si="86"/>
        <v>0</v>
      </c>
      <c r="X349" s="315">
        <f t="shared" si="86"/>
        <v>0</v>
      </c>
      <c r="Y349" s="315">
        <f t="shared" si="86"/>
        <v>0</v>
      </c>
      <c r="AQ349" s="3"/>
    </row>
    <row r="350" spans="5:43" x14ac:dyDescent="0.35">
      <c r="E350" s="27"/>
      <c r="F350" s="70" t="s">
        <v>253</v>
      </c>
      <c r="G350" s="70" t="s">
        <v>254</v>
      </c>
      <c r="H350" s="28"/>
      <c r="I350" s="28"/>
      <c r="J350" s="71"/>
      <c r="K350" s="90">
        <f t="shared" si="85"/>
        <v>0</v>
      </c>
      <c r="L350" s="90">
        <f t="shared" si="85"/>
        <v>0</v>
      </c>
      <c r="M350" s="90">
        <f t="shared" si="85"/>
        <v>0</v>
      </c>
      <c r="N350" s="90">
        <f t="shared" si="85"/>
        <v>0</v>
      </c>
      <c r="O350" s="90">
        <f t="shared" si="85"/>
        <v>0</v>
      </c>
      <c r="P350" s="90">
        <f t="shared" si="85"/>
        <v>0</v>
      </c>
      <c r="Q350" s="71"/>
      <c r="R350" s="90">
        <f t="shared" si="86"/>
        <v>0</v>
      </c>
      <c r="S350" s="90">
        <f t="shared" si="86"/>
        <v>0</v>
      </c>
      <c r="T350" s="90">
        <f t="shared" si="86"/>
        <v>0</v>
      </c>
      <c r="U350" s="90">
        <f t="shared" si="86"/>
        <v>0</v>
      </c>
      <c r="V350" s="90">
        <f t="shared" si="86"/>
        <v>0</v>
      </c>
      <c r="W350" s="90">
        <f t="shared" si="86"/>
        <v>0</v>
      </c>
      <c r="X350" s="90">
        <f t="shared" si="86"/>
        <v>0</v>
      </c>
      <c r="Y350" s="90">
        <f t="shared" si="86"/>
        <v>0</v>
      </c>
      <c r="AQ350" s="3"/>
    </row>
    <row r="351" spans="5:43" x14ac:dyDescent="0.35">
      <c r="AQ351" s="3"/>
    </row>
    <row r="352" spans="5:43" x14ac:dyDescent="0.35">
      <c r="E352" s="27" t="s">
        <v>968</v>
      </c>
      <c r="G352" s="12"/>
      <c r="I352" t="s">
        <v>154</v>
      </c>
      <c r="AQ352" s="3"/>
    </row>
    <row r="353" spans="3:43" x14ac:dyDescent="0.35">
      <c r="E353" s="27"/>
      <c r="F353" s="68" t="s">
        <v>247</v>
      </c>
      <c r="G353" s="68" t="s">
        <v>207</v>
      </c>
      <c r="H353" s="19"/>
      <c r="I353" s="19"/>
      <c r="J353" s="73"/>
      <c r="K353" s="116">
        <f t="shared" ref="K353:P359" si="87">K58+K335+K344</f>
        <v>385.85428212338678</v>
      </c>
      <c r="L353" s="116">
        <f t="shared" si="87"/>
        <v>276.53885768870242</v>
      </c>
      <c r="M353" s="116">
        <f t="shared" si="87"/>
        <v>622.21371742398651</v>
      </c>
      <c r="N353" s="116">
        <f t="shared" si="87"/>
        <v>78.59078647039631</v>
      </c>
      <c r="O353" s="116">
        <f t="shared" si="87"/>
        <v>0</v>
      </c>
      <c r="P353" s="116">
        <f t="shared" si="87"/>
        <v>376.43364027248634</v>
      </c>
      <c r="Q353" s="73"/>
      <c r="R353" s="116">
        <f t="shared" ref="R353:Y359" si="88">R58+R335+R344</f>
        <v>952.63299999999981</v>
      </c>
      <c r="S353" s="116">
        <f t="shared" si="88"/>
        <v>34.794999999999995</v>
      </c>
      <c r="T353" s="116">
        <f t="shared" si="88"/>
        <v>4651.0746980075764</v>
      </c>
      <c r="U353" s="116">
        <f t="shared" si="88"/>
        <v>0</v>
      </c>
      <c r="V353" s="116">
        <f t="shared" si="88"/>
        <v>0</v>
      </c>
      <c r="W353" s="116">
        <f t="shared" si="88"/>
        <v>0</v>
      </c>
      <c r="X353" s="116">
        <f t="shared" si="88"/>
        <v>83725.653155247186</v>
      </c>
      <c r="Y353" s="116">
        <f t="shared" si="88"/>
        <v>0</v>
      </c>
      <c r="AQ353" s="3"/>
    </row>
    <row r="354" spans="3:43" x14ac:dyDescent="0.35">
      <c r="E354" s="27"/>
      <c r="F354" s="62" t="s">
        <v>248</v>
      </c>
      <c r="G354" s="62" t="s">
        <v>207</v>
      </c>
      <c r="J354" s="316"/>
      <c r="K354" s="315">
        <f t="shared" si="87"/>
        <v>37493.164568451517</v>
      </c>
      <c r="L354" s="315">
        <f t="shared" si="87"/>
        <v>1744.0147415635197</v>
      </c>
      <c r="M354" s="315">
        <f t="shared" si="87"/>
        <v>7925.7233535387522</v>
      </c>
      <c r="N354" s="315">
        <f t="shared" si="87"/>
        <v>452.42738864355545</v>
      </c>
      <c r="O354" s="315">
        <f t="shared" si="87"/>
        <v>0</v>
      </c>
      <c r="P354" s="315">
        <f t="shared" si="87"/>
        <v>2115.4787940551191</v>
      </c>
      <c r="Q354" s="316"/>
      <c r="R354" s="315">
        <f t="shared" si="88"/>
        <v>8088.5750000000007</v>
      </c>
      <c r="S354" s="315">
        <f t="shared" si="88"/>
        <v>170.797</v>
      </c>
      <c r="T354" s="315">
        <f t="shared" si="88"/>
        <v>36562.572785299533</v>
      </c>
      <c r="U354" s="315">
        <f t="shared" si="88"/>
        <v>0</v>
      </c>
      <c r="V354" s="315">
        <f t="shared" si="88"/>
        <v>0</v>
      </c>
      <c r="W354" s="315">
        <f t="shared" si="88"/>
        <v>0</v>
      </c>
      <c r="X354" s="315">
        <f t="shared" si="88"/>
        <v>532059.97125989269</v>
      </c>
      <c r="Y354" s="315">
        <f t="shared" si="88"/>
        <v>0</v>
      </c>
      <c r="AQ354" s="3"/>
    </row>
    <row r="355" spans="3:43" x14ac:dyDescent="0.35">
      <c r="E355" s="27"/>
      <c r="F355" s="62" t="s">
        <v>249</v>
      </c>
      <c r="G355" s="62" t="s">
        <v>207</v>
      </c>
      <c r="J355" s="316"/>
      <c r="K355" s="315">
        <f t="shared" si="87"/>
        <v>91372.316099402669</v>
      </c>
      <c r="L355" s="315">
        <f t="shared" si="87"/>
        <v>782.67929879096073</v>
      </c>
      <c r="M355" s="315">
        <f t="shared" si="87"/>
        <v>25560.92942792672</v>
      </c>
      <c r="N355" s="315">
        <f t="shared" si="87"/>
        <v>248.8001625162569</v>
      </c>
      <c r="O355" s="315">
        <f t="shared" si="87"/>
        <v>0</v>
      </c>
      <c r="P355" s="315">
        <f t="shared" si="87"/>
        <v>1458.3912124412109</v>
      </c>
      <c r="Q355" s="316"/>
      <c r="R355" s="315">
        <f t="shared" si="88"/>
        <v>812.69199999999978</v>
      </c>
      <c r="S355" s="315">
        <f t="shared" si="88"/>
        <v>24.104999999999997</v>
      </c>
      <c r="T355" s="315">
        <f t="shared" si="88"/>
        <v>11217.299058567434</v>
      </c>
      <c r="U355" s="315">
        <f t="shared" si="88"/>
        <v>0</v>
      </c>
      <c r="V355" s="315">
        <f t="shared" si="88"/>
        <v>0</v>
      </c>
      <c r="W355" s="315">
        <f t="shared" si="88"/>
        <v>0</v>
      </c>
      <c r="X355" s="315">
        <f t="shared" si="88"/>
        <v>252499.59274264879</v>
      </c>
      <c r="Y355" s="315">
        <f t="shared" si="88"/>
        <v>0</v>
      </c>
      <c r="AQ355" s="3"/>
    </row>
    <row r="356" spans="3:43" x14ac:dyDescent="0.35">
      <c r="E356" s="27"/>
      <c r="F356" s="62" t="s">
        <v>212</v>
      </c>
      <c r="G356" s="62" t="s">
        <v>212</v>
      </c>
      <c r="J356" s="316"/>
      <c r="K356" s="315">
        <f t="shared" si="87"/>
        <v>30472.026964790908</v>
      </c>
      <c r="L356" s="315">
        <f t="shared" si="87"/>
        <v>9.6884478937311105</v>
      </c>
      <c r="M356" s="315">
        <f t="shared" si="87"/>
        <v>4516.8450273566268</v>
      </c>
      <c r="N356" s="315">
        <f t="shared" si="87"/>
        <v>12.122280437371904</v>
      </c>
      <c r="O356" s="315">
        <f t="shared" si="87"/>
        <v>0</v>
      </c>
      <c r="P356" s="315">
        <f t="shared" si="87"/>
        <v>79.23866687372356</v>
      </c>
      <c r="Q356" s="316"/>
      <c r="R356" s="315">
        <f t="shared" si="88"/>
        <v>8349.9354838709678</v>
      </c>
      <c r="S356" s="315">
        <f t="shared" si="88"/>
        <v>39</v>
      </c>
      <c r="T356" s="315">
        <f t="shared" si="88"/>
        <v>838.90322580645136</v>
      </c>
      <c r="U356" s="315">
        <f t="shared" si="88"/>
        <v>0</v>
      </c>
      <c r="V356" s="315">
        <f t="shared" si="88"/>
        <v>1</v>
      </c>
      <c r="W356" s="315">
        <f t="shared" si="88"/>
        <v>0</v>
      </c>
      <c r="X356" s="315">
        <f t="shared" si="88"/>
        <v>234.29032258064521</v>
      </c>
      <c r="Y356" s="315">
        <f t="shared" si="88"/>
        <v>0</v>
      </c>
      <c r="AQ356" s="3"/>
    </row>
    <row r="357" spans="3:43" x14ac:dyDescent="0.35">
      <c r="E357" s="27"/>
      <c r="F357" s="62" t="s">
        <v>250</v>
      </c>
      <c r="G357" s="62" t="s">
        <v>251</v>
      </c>
      <c r="J357" s="316"/>
      <c r="K357" s="315">
        <f t="shared" si="87"/>
        <v>0</v>
      </c>
      <c r="L357" s="315">
        <f t="shared" si="87"/>
        <v>0</v>
      </c>
      <c r="M357" s="315">
        <f t="shared" si="87"/>
        <v>0</v>
      </c>
      <c r="N357" s="315">
        <f t="shared" si="87"/>
        <v>541.06652698643586</v>
      </c>
      <c r="O357" s="315">
        <f t="shared" si="87"/>
        <v>0</v>
      </c>
      <c r="P357" s="315">
        <f t="shared" si="87"/>
        <v>1959.8947395060832</v>
      </c>
      <c r="Q357" s="316"/>
      <c r="R357" s="315">
        <f t="shared" si="88"/>
        <v>0</v>
      </c>
      <c r="S357" s="315">
        <f t="shared" si="88"/>
        <v>0</v>
      </c>
      <c r="T357" s="315">
        <f t="shared" si="88"/>
        <v>0</v>
      </c>
      <c r="U357" s="315">
        <f t="shared" si="88"/>
        <v>0</v>
      </c>
      <c r="V357" s="315">
        <f t="shared" si="88"/>
        <v>0</v>
      </c>
      <c r="W357" s="315">
        <f t="shared" si="88"/>
        <v>0</v>
      </c>
      <c r="X357" s="315">
        <f t="shared" si="88"/>
        <v>0</v>
      </c>
      <c r="Y357" s="315">
        <f t="shared" si="88"/>
        <v>0</v>
      </c>
      <c r="AQ357" s="3"/>
    </row>
    <row r="358" spans="3:43" x14ac:dyDescent="0.35">
      <c r="E358" s="27"/>
      <c r="F358" s="62" t="s">
        <v>252</v>
      </c>
      <c r="G358" s="62" t="s">
        <v>251</v>
      </c>
      <c r="J358" s="316"/>
      <c r="K358" s="315">
        <f t="shared" si="87"/>
        <v>0</v>
      </c>
      <c r="L358" s="315">
        <f t="shared" si="87"/>
        <v>0</v>
      </c>
      <c r="M358" s="315">
        <f t="shared" si="87"/>
        <v>0</v>
      </c>
      <c r="N358" s="315">
        <f t="shared" si="87"/>
        <v>8.8396001529576367</v>
      </c>
      <c r="O358" s="315">
        <f t="shared" si="87"/>
        <v>0</v>
      </c>
      <c r="P358" s="315">
        <f t="shared" si="87"/>
        <v>40.422569491496176</v>
      </c>
      <c r="Q358" s="316"/>
      <c r="R358" s="315">
        <f t="shared" si="88"/>
        <v>0</v>
      </c>
      <c r="S358" s="315">
        <f t="shared" si="88"/>
        <v>0</v>
      </c>
      <c r="T358" s="315">
        <f t="shared" si="88"/>
        <v>0</v>
      </c>
      <c r="U358" s="315">
        <f t="shared" si="88"/>
        <v>0</v>
      </c>
      <c r="V358" s="315">
        <f t="shared" si="88"/>
        <v>0</v>
      </c>
      <c r="W358" s="315">
        <f t="shared" si="88"/>
        <v>0</v>
      </c>
      <c r="X358" s="315">
        <f t="shared" si="88"/>
        <v>0</v>
      </c>
      <c r="Y358" s="315">
        <f t="shared" si="88"/>
        <v>0</v>
      </c>
      <c r="AQ358" s="3"/>
    </row>
    <row r="359" spans="3:43" x14ac:dyDescent="0.35">
      <c r="E359" s="27"/>
      <c r="F359" s="70" t="s">
        <v>253</v>
      </c>
      <c r="G359" s="70" t="s">
        <v>254</v>
      </c>
      <c r="H359" s="28"/>
      <c r="I359" s="28"/>
      <c r="J359" s="71"/>
      <c r="K359" s="90">
        <f t="shared" si="87"/>
        <v>0</v>
      </c>
      <c r="L359" s="90">
        <f t="shared" si="87"/>
        <v>0</v>
      </c>
      <c r="M359" s="90">
        <f t="shared" si="87"/>
        <v>0</v>
      </c>
      <c r="N359" s="90">
        <f t="shared" si="87"/>
        <v>58.995876213502676</v>
      </c>
      <c r="O359" s="90">
        <f t="shared" si="87"/>
        <v>0</v>
      </c>
      <c r="P359" s="90">
        <f t="shared" si="87"/>
        <v>274.59031949823634</v>
      </c>
      <c r="Q359" s="71"/>
      <c r="R359" s="90">
        <f t="shared" si="88"/>
        <v>0</v>
      </c>
      <c r="S359" s="90">
        <f t="shared" si="88"/>
        <v>0</v>
      </c>
      <c r="T359" s="90">
        <f t="shared" si="88"/>
        <v>6750.4085650779352</v>
      </c>
      <c r="U359" s="90">
        <f t="shared" si="88"/>
        <v>0</v>
      </c>
      <c r="V359" s="90">
        <f t="shared" si="88"/>
        <v>0</v>
      </c>
      <c r="W359" s="90">
        <f t="shared" si="88"/>
        <v>0</v>
      </c>
      <c r="X359" s="90">
        <f t="shared" si="88"/>
        <v>37191.039110646561</v>
      </c>
      <c r="Y359" s="90">
        <f t="shared" si="88"/>
        <v>0</v>
      </c>
      <c r="AQ359" s="3"/>
    </row>
    <row r="360" spans="3:43" x14ac:dyDescent="0.35">
      <c r="AQ360" s="3"/>
    </row>
    <row r="361" spans="3:43" x14ac:dyDescent="0.35">
      <c r="C361" s="26" t="str">
        <f ca="1">INDEX('Version control'!$H$38:$H$61,MATCH($A$1,'Version control'!$F$38:$F$61,0),1)&amp;"-E: Residual band 1 volume discounting"</f>
        <v>Section 104-E: Residual band 1 volume discounting</v>
      </c>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Q361" s="3"/>
    </row>
    <row r="362" spans="3:43" x14ac:dyDescent="0.35">
      <c r="C362" s="27"/>
      <c r="AQ362" s="3"/>
    </row>
    <row r="363" spans="3:43" x14ac:dyDescent="0.35">
      <c r="E363" s="27" t="s">
        <v>964</v>
      </c>
      <c r="G363" s="12"/>
      <c r="I363" t="s">
        <v>154</v>
      </c>
      <c r="AQ363" s="3"/>
    </row>
    <row r="364" spans="3:43" x14ac:dyDescent="0.35">
      <c r="E364" s="27"/>
      <c r="F364" s="68" t="s">
        <v>247</v>
      </c>
      <c r="G364" s="68" t="s">
        <v>207</v>
      </c>
      <c r="H364" s="19"/>
      <c r="I364" s="19"/>
      <c r="J364" s="116">
        <f t="shared" ref="J364:J370" si="89">(1 - J315) * J114</f>
        <v>4837.9273426472864</v>
      </c>
      <c r="K364" s="73"/>
      <c r="L364" s="116">
        <f t="shared" ref="L364:L370" si="90">(1 - L315) * L114</f>
        <v>188.91018018432294</v>
      </c>
      <c r="M364" s="73"/>
      <c r="N364" s="116">
        <f t="shared" ref="N364:Q370" si="91">(1 - N315) * N114</f>
        <v>94.639684916800846</v>
      </c>
      <c r="O364" s="116">
        <f t="shared" si="91"/>
        <v>0</v>
      </c>
      <c r="P364" s="116">
        <f t="shared" si="91"/>
        <v>0</v>
      </c>
      <c r="Q364" s="116">
        <f t="shared" si="91"/>
        <v>3.3455476474367973</v>
      </c>
      <c r="R364" s="73"/>
      <c r="S364" s="73"/>
      <c r="T364" s="73"/>
      <c r="U364" s="73"/>
      <c r="V364" s="73"/>
      <c r="W364" s="73"/>
      <c r="X364" s="73"/>
      <c r="Y364" s="73"/>
      <c r="AQ364" s="3"/>
    </row>
    <row r="365" spans="3:43" x14ac:dyDescent="0.35">
      <c r="E365" s="27"/>
      <c r="F365" s="62" t="s">
        <v>248</v>
      </c>
      <c r="G365" s="62" t="s">
        <v>207</v>
      </c>
      <c r="J365" s="315">
        <f t="shared" si="89"/>
        <v>21226.751401391652</v>
      </c>
      <c r="K365" s="316"/>
      <c r="L365" s="315">
        <f t="shared" si="90"/>
        <v>1186.519664212896</v>
      </c>
      <c r="M365" s="316"/>
      <c r="N365" s="315">
        <f t="shared" si="91"/>
        <v>560.55104023381148</v>
      </c>
      <c r="O365" s="315">
        <f t="shared" si="91"/>
        <v>0</v>
      </c>
      <c r="P365" s="315">
        <f t="shared" si="91"/>
        <v>0</v>
      </c>
      <c r="Q365" s="315">
        <f t="shared" si="91"/>
        <v>23.1280266749609</v>
      </c>
      <c r="R365" s="316"/>
      <c r="S365" s="316"/>
      <c r="T365" s="316"/>
      <c r="U365" s="316"/>
      <c r="V365" s="316"/>
      <c r="W365" s="316"/>
      <c r="X365" s="316"/>
      <c r="Y365" s="316"/>
      <c r="AQ365" s="3"/>
    </row>
    <row r="366" spans="3:43" x14ac:dyDescent="0.35">
      <c r="E366" s="27"/>
      <c r="F366" s="62" t="s">
        <v>249</v>
      </c>
      <c r="G366" s="62" t="s">
        <v>207</v>
      </c>
      <c r="J366" s="315">
        <f t="shared" si="89"/>
        <v>10435.90163289892</v>
      </c>
      <c r="K366" s="316"/>
      <c r="L366" s="315">
        <f t="shared" si="90"/>
        <v>552.91924190479028</v>
      </c>
      <c r="M366" s="316"/>
      <c r="N366" s="315">
        <f t="shared" si="91"/>
        <v>319.50962423329702</v>
      </c>
      <c r="O366" s="315">
        <f t="shared" si="91"/>
        <v>0</v>
      </c>
      <c r="P366" s="315">
        <f t="shared" si="91"/>
        <v>0</v>
      </c>
      <c r="Q366" s="315">
        <f t="shared" si="91"/>
        <v>19.263797338252196</v>
      </c>
      <c r="R366" s="316"/>
      <c r="S366" s="316"/>
      <c r="T366" s="316"/>
      <c r="U366" s="316"/>
      <c r="V366" s="316"/>
      <c r="W366" s="316"/>
      <c r="X366" s="316"/>
      <c r="Y366" s="316"/>
      <c r="AQ366" s="3"/>
    </row>
    <row r="367" spans="3:43" x14ac:dyDescent="0.35">
      <c r="E367" s="27"/>
      <c r="F367" s="62" t="s">
        <v>212</v>
      </c>
      <c r="G367" s="62" t="s">
        <v>212</v>
      </c>
      <c r="J367" s="315">
        <f t="shared" si="89"/>
        <v>21900.444210249239</v>
      </c>
      <c r="K367" s="316"/>
      <c r="L367" s="315">
        <f t="shared" si="90"/>
        <v>325.72502362453992</v>
      </c>
      <c r="M367" s="316"/>
      <c r="N367" s="315">
        <f t="shared" si="91"/>
        <v>18.569468597699469</v>
      </c>
      <c r="O367" s="315">
        <f t="shared" si="91"/>
        <v>0</v>
      </c>
      <c r="P367" s="315">
        <f t="shared" si="91"/>
        <v>0</v>
      </c>
      <c r="Q367" s="315">
        <f t="shared" si="91"/>
        <v>44.660852346915057</v>
      </c>
      <c r="R367" s="316"/>
      <c r="S367" s="316"/>
      <c r="T367" s="316"/>
      <c r="U367" s="316"/>
      <c r="V367" s="316"/>
      <c r="W367" s="316"/>
      <c r="X367" s="316"/>
      <c r="Y367" s="316"/>
      <c r="AQ367" s="3"/>
    </row>
    <row r="368" spans="3:43" x14ac:dyDescent="0.35">
      <c r="E368" s="27"/>
      <c r="F368" s="62" t="s">
        <v>250</v>
      </c>
      <c r="G368" s="62" t="s">
        <v>251</v>
      </c>
      <c r="J368" s="315">
        <f t="shared" si="89"/>
        <v>0</v>
      </c>
      <c r="K368" s="316"/>
      <c r="L368" s="315">
        <f t="shared" si="90"/>
        <v>0</v>
      </c>
      <c r="M368" s="316"/>
      <c r="N368" s="315">
        <f t="shared" si="91"/>
        <v>2086.5483855604743</v>
      </c>
      <c r="O368" s="315">
        <f t="shared" si="91"/>
        <v>0</v>
      </c>
      <c r="P368" s="315">
        <f t="shared" si="91"/>
        <v>0</v>
      </c>
      <c r="Q368" s="315">
        <f t="shared" si="91"/>
        <v>0</v>
      </c>
      <c r="R368" s="316"/>
      <c r="S368" s="316"/>
      <c r="T368" s="316"/>
      <c r="U368" s="316"/>
      <c r="V368" s="316"/>
      <c r="W368" s="316"/>
      <c r="X368" s="316"/>
      <c r="Y368" s="316"/>
      <c r="AQ368" s="3"/>
    </row>
    <row r="369" spans="5:43" x14ac:dyDescent="0.35">
      <c r="E369" s="27"/>
      <c r="F369" s="62" t="s">
        <v>252</v>
      </c>
      <c r="G369" s="62" t="s">
        <v>251</v>
      </c>
      <c r="J369" s="315">
        <f t="shared" si="89"/>
        <v>0</v>
      </c>
      <c r="K369" s="316"/>
      <c r="L369" s="315">
        <f t="shared" si="90"/>
        <v>0</v>
      </c>
      <c r="M369" s="316"/>
      <c r="N369" s="315">
        <f t="shared" si="91"/>
        <v>4.5251248674250464</v>
      </c>
      <c r="O369" s="315">
        <f t="shared" si="91"/>
        <v>0</v>
      </c>
      <c r="P369" s="315">
        <f t="shared" si="91"/>
        <v>0</v>
      </c>
      <c r="Q369" s="315">
        <f t="shared" si="91"/>
        <v>0</v>
      </c>
      <c r="R369" s="316"/>
      <c r="S369" s="316"/>
      <c r="T369" s="316"/>
      <c r="U369" s="316"/>
      <c r="V369" s="316"/>
      <c r="W369" s="316"/>
      <c r="X369" s="316"/>
      <c r="Y369" s="316"/>
      <c r="AQ369" s="3"/>
    </row>
    <row r="370" spans="5:43" x14ac:dyDescent="0.35">
      <c r="E370" s="27"/>
      <c r="F370" s="70" t="s">
        <v>253</v>
      </c>
      <c r="G370" s="70" t="s">
        <v>254</v>
      </c>
      <c r="H370" s="28"/>
      <c r="I370" s="28"/>
      <c r="J370" s="90">
        <f t="shared" si="89"/>
        <v>0</v>
      </c>
      <c r="K370" s="71"/>
      <c r="L370" s="90">
        <f t="shared" si="90"/>
        <v>0</v>
      </c>
      <c r="M370" s="71"/>
      <c r="N370" s="90">
        <f t="shared" si="91"/>
        <v>161.43583673008425</v>
      </c>
      <c r="O370" s="90">
        <f t="shared" si="91"/>
        <v>0</v>
      </c>
      <c r="P370" s="90">
        <f t="shared" si="91"/>
        <v>0</v>
      </c>
      <c r="Q370" s="90">
        <f t="shared" si="91"/>
        <v>0</v>
      </c>
      <c r="R370" s="71"/>
      <c r="S370" s="71"/>
      <c r="T370" s="71"/>
      <c r="U370" s="71"/>
      <c r="V370" s="71"/>
      <c r="W370" s="71"/>
      <c r="X370" s="71"/>
      <c r="Y370" s="71"/>
      <c r="AQ370" s="3"/>
    </row>
    <row r="371" spans="5:43" x14ac:dyDescent="0.35">
      <c r="AQ371" s="3"/>
    </row>
    <row r="372" spans="5:43" x14ac:dyDescent="0.35">
      <c r="E372" s="27" t="s">
        <v>965</v>
      </c>
      <c r="G372" s="12"/>
      <c r="I372" t="s">
        <v>154</v>
      </c>
      <c r="AQ372" s="3"/>
    </row>
    <row r="373" spans="5:43" x14ac:dyDescent="0.35">
      <c r="E373" s="27"/>
      <c r="F373" s="68" t="s">
        <v>247</v>
      </c>
      <c r="G373" s="68" t="s">
        <v>207</v>
      </c>
      <c r="H373" s="19"/>
      <c r="I373" s="19"/>
      <c r="J373" s="116">
        <f t="shared" ref="J373:J379" si="92">(1 - J324) * J161</f>
        <v>11793.334944548011</v>
      </c>
      <c r="K373" s="73"/>
      <c r="L373" s="116">
        <f t="shared" ref="L373:L379" si="93">(1 - L324) * L161</f>
        <v>147.31116314262201</v>
      </c>
      <c r="M373" s="73"/>
      <c r="N373" s="116">
        <f t="shared" ref="N373:Q379" si="94">(1 - N324) * N161</f>
        <v>913.3338642701691</v>
      </c>
      <c r="O373" s="116">
        <f t="shared" si="94"/>
        <v>843.42450431506006</v>
      </c>
      <c r="P373" s="116">
        <f t="shared" si="94"/>
        <v>365.35159174452963</v>
      </c>
      <c r="Q373" s="116">
        <f t="shared" si="94"/>
        <v>56.887605609463314</v>
      </c>
      <c r="R373" s="73"/>
      <c r="S373" s="73"/>
      <c r="T373" s="73"/>
      <c r="U373" s="73"/>
      <c r="V373" s="73"/>
      <c r="W373" s="73"/>
      <c r="X373" s="73"/>
      <c r="Y373" s="73"/>
      <c r="AQ373" s="3"/>
    </row>
    <row r="374" spans="5:43" x14ac:dyDescent="0.35">
      <c r="E374" s="27"/>
      <c r="F374" s="62" t="s">
        <v>248</v>
      </c>
      <c r="G374" s="62" t="s">
        <v>207</v>
      </c>
      <c r="J374" s="315">
        <f t="shared" si="92"/>
        <v>51667.427657006221</v>
      </c>
      <c r="K374" s="316"/>
      <c r="L374" s="315">
        <f t="shared" si="93"/>
        <v>928.84702862587528</v>
      </c>
      <c r="M374" s="316"/>
      <c r="N374" s="315">
        <f t="shared" si="94"/>
        <v>4936.8105744890863</v>
      </c>
      <c r="O374" s="315">
        <f t="shared" si="94"/>
        <v>4751.4564203416121</v>
      </c>
      <c r="P374" s="315">
        <f t="shared" si="94"/>
        <v>2112.4105048126985</v>
      </c>
      <c r="Q374" s="315">
        <f t="shared" si="94"/>
        <v>354.35438132701631</v>
      </c>
      <c r="R374" s="316"/>
      <c r="S374" s="316"/>
      <c r="T374" s="316"/>
      <c r="U374" s="316"/>
      <c r="V374" s="316"/>
      <c r="W374" s="316"/>
      <c r="X374" s="316"/>
      <c r="Y374" s="316"/>
      <c r="AQ374" s="3"/>
    </row>
    <row r="375" spans="5:43" x14ac:dyDescent="0.35">
      <c r="E375" s="27"/>
      <c r="F375" s="62" t="s">
        <v>249</v>
      </c>
      <c r="G375" s="62" t="s">
        <v>207</v>
      </c>
      <c r="J375" s="315">
        <f t="shared" si="92"/>
        <v>25257.562899516255</v>
      </c>
      <c r="K375" s="316"/>
      <c r="L375" s="315">
        <f t="shared" si="93"/>
        <v>414.69335254397839</v>
      </c>
      <c r="M375" s="316"/>
      <c r="N375" s="315">
        <f t="shared" si="94"/>
        <v>2781.3894878609422</v>
      </c>
      <c r="O375" s="315">
        <f t="shared" si="94"/>
        <v>2457.440443956672</v>
      </c>
      <c r="P375" s="315">
        <f t="shared" si="94"/>
        <v>1406.8354935942443</v>
      </c>
      <c r="Q375" s="315">
        <f t="shared" si="94"/>
        <v>184.92018545297606</v>
      </c>
      <c r="R375" s="316"/>
      <c r="S375" s="316"/>
      <c r="T375" s="316"/>
      <c r="U375" s="316"/>
      <c r="V375" s="316"/>
      <c r="W375" s="316"/>
      <c r="X375" s="316"/>
      <c r="Y375" s="316"/>
      <c r="AQ375" s="3"/>
    </row>
    <row r="376" spans="5:43" x14ac:dyDescent="0.35">
      <c r="E376" s="27"/>
      <c r="F376" s="62" t="s">
        <v>212</v>
      </c>
      <c r="G376" s="62" t="s">
        <v>212</v>
      </c>
      <c r="J376" s="315">
        <f t="shared" si="92"/>
        <v>58558.096160413312</v>
      </c>
      <c r="K376" s="316"/>
      <c r="L376" s="315">
        <f t="shared" si="93"/>
        <v>672.33249484270743</v>
      </c>
      <c r="M376" s="316"/>
      <c r="N376" s="315">
        <f t="shared" si="94"/>
        <v>72.983993907961491</v>
      </c>
      <c r="O376" s="315">
        <f t="shared" si="94"/>
        <v>18.34697201955592</v>
      </c>
      <c r="P376" s="315">
        <f t="shared" si="94"/>
        <v>5.0914352744327536</v>
      </c>
      <c r="Q376" s="315">
        <f t="shared" si="94"/>
        <v>121.24568191606933</v>
      </c>
      <c r="R376" s="316"/>
      <c r="S376" s="316"/>
      <c r="T376" s="316"/>
      <c r="U376" s="316"/>
      <c r="V376" s="316"/>
      <c r="W376" s="316"/>
      <c r="X376" s="316"/>
      <c r="Y376" s="316"/>
      <c r="AQ376" s="3"/>
    </row>
    <row r="377" spans="5:43" x14ac:dyDescent="0.35">
      <c r="E377" s="27"/>
      <c r="F377" s="62" t="s">
        <v>250</v>
      </c>
      <c r="G377" s="62" t="s">
        <v>251</v>
      </c>
      <c r="J377" s="315">
        <f t="shared" si="92"/>
        <v>0</v>
      </c>
      <c r="K377" s="316"/>
      <c r="L377" s="315">
        <f t="shared" si="93"/>
        <v>0</v>
      </c>
      <c r="M377" s="316"/>
      <c r="N377" s="315">
        <f t="shared" si="94"/>
        <v>11598.914987575188</v>
      </c>
      <c r="O377" s="315">
        <f t="shared" si="94"/>
        <v>102.66989655591388</v>
      </c>
      <c r="P377" s="315">
        <f t="shared" si="94"/>
        <v>1082.4803335151814</v>
      </c>
      <c r="Q377" s="315">
        <f t="shared" si="94"/>
        <v>0</v>
      </c>
      <c r="R377" s="316"/>
      <c r="S377" s="316"/>
      <c r="T377" s="316"/>
      <c r="U377" s="316"/>
      <c r="V377" s="316"/>
      <c r="W377" s="316"/>
      <c r="X377" s="316"/>
      <c r="Y377" s="316"/>
      <c r="AQ377" s="3"/>
    </row>
    <row r="378" spans="5:43" x14ac:dyDescent="0.35">
      <c r="E378" s="27"/>
      <c r="F378" s="62" t="s">
        <v>252</v>
      </c>
      <c r="G378" s="62" t="s">
        <v>251</v>
      </c>
      <c r="J378" s="315">
        <f t="shared" si="92"/>
        <v>0</v>
      </c>
      <c r="K378" s="316"/>
      <c r="L378" s="315">
        <f t="shared" si="93"/>
        <v>0</v>
      </c>
      <c r="M378" s="316"/>
      <c r="N378" s="315">
        <f t="shared" si="94"/>
        <v>20.071781982563387</v>
      </c>
      <c r="O378" s="315">
        <f t="shared" si="94"/>
        <v>0</v>
      </c>
      <c r="P378" s="315">
        <f t="shared" si="94"/>
        <v>24.765500379086607</v>
      </c>
      <c r="Q378" s="315">
        <f t="shared" si="94"/>
        <v>0</v>
      </c>
      <c r="R378" s="316"/>
      <c r="S378" s="316"/>
      <c r="T378" s="316"/>
      <c r="U378" s="316"/>
      <c r="V378" s="316"/>
      <c r="W378" s="316"/>
      <c r="X378" s="316"/>
      <c r="Y378" s="316"/>
      <c r="AQ378" s="3"/>
    </row>
    <row r="379" spans="5:43" x14ac:dyDescent="0.35">
      <c r="E379" s="27"/>
      <c r="F379" s="70" t="s">
        <v>253</v>
      </c>
      <c r="G379" s="70" t="s">
        <v>254</v>
      </c>
      <c r="H379" s="28"/>
      <c r="I379" s="28"/>
      <c r="J379" s="90">
        <f t="shared" si="92"/>
        <v>0</v>
      </c>
      <c r="K379" s="71"/>
      <c r="L379" s="90">
        <f t="shared" si="93"/>
        <v>0</v>
      </c>
      <c r="M379" s="71"/>
      <c r="N379" s="90">
        <f t="shared" si="94"/>
        <v>925.42501012850289</v>
      </c>
      <c r="O379" s="90">
        <f t="shared" si="94"/>
        <v>1163.2013097153058</v>
      </c>
      <c r="P379" s="90">
        <f t="shared" si="94"/>
        <v>72.799163068776409</v>
      </c>
      <c r="Q379" s="90">
        <f t="shared" si="94"/>
        <v>0</v>
      </c>
      <c r="R379" s="71"/>
      <c r="S379" s="71"/>
      <c r="T379" s="71"/>
      <c r="U379" s="71"/>
      <c r="V379" s="71"/>
      <c r="W379" s="71"/>
      <c r="X379" s="71"/>
      <c r="Y379" s="71"/>
      <c r="AQ379" s="3"/>
    </row>
    <row r="380" spans="5:43" x14ac:dyDescent="0.35">
      <c r="AQ380" s="3"/>
    </row>
    <row r="381" spans="5:43" x14ac:dyDescent="0.35">
      <c r="E381" s="27" t="s">
        <v>963</v>
      </c>
      <c r="G381" s="12"/>
      <c r="I381" t="s">
        <v>154</v>
      </c>
      <c r="AQ381" s="3"/>
    </row>
    <row r="382" spans="5:43" x14ac:dyDescent="0.35">
      <c r="E382" s="27"/>
      <c r="F382" s="68" t="s">
        <v>247</v>
      </c>
      <c r="G382" s="68" t="s">
        <v>207</v>
      </c>
      <c r="H382" s="19"/>
      <c r="I382" s="19"/>
      <c r="J382" s="116">
        <f t="shared" ref="J382:J388" si="95">J67+J364+J373</f>
        <v>1195141.300122248</v>
      </c>
      <c r="K382" s="73"/>
      <c r="L382" s="116">
        <f t="shared" ref="L382:L388" si="96">L67+L364+L373</f>
        <v>25777.997986388389</v>
      </c>
      <c r="M382" s="73"/>
      <c r="N382" s="116">
        <f t="shared" ref="N382:Q388" si="97">N67+N364+N373</f>
        <v>94006.82884342692</v>
      </c>
      <c r="O382" s="116">
        <f t="shared" si="97"/>
        <v>944.47966344540714</v>
      </c>
      <c r="P382" s="116">
        <f t="shared" si="97"/>
        <v>23544.121636543554</v>
      </c>
      <c r="Q382" s="116">
        <f t="shared" si="97"/>
        <v>9390.0610476398779</v>
      </c>
      <c r="R382" s="73"/>
      <c r="S382" s="73"/>
      <c r="T382" s="73"/>
      <c r="U382" s="73"/>
      <c r="V382" s="73"/>
      <c r="W382" s="73"/>
      <c r="X382" s="73"/>
      <c r="Y382" s="73"/>
      <c r="AQ382" s="3"/>
    </row>
    <row r="383" spans="5:43" x14ac:dyDescent="0.35">
      <c r="E383" s="27"/>
      <c r="F383" s="62" t="s">
        <v>248</v>
      </c>
      <c r="G383" s="62" t="s">
        <v>207</v>
      </c>
      <c r="J383" s="315">
        <f t="shared" si="95"/>
        <v>5245246.7360017952</v>
      </c>
      <c r="K383" s="316"/>
      <c r="L383" s="315">
        <f t="shared" si="96"/>
        <v>162952.0078481962</v>
      </c>
      <c r="M383" s="316"/>
      <c r="N383" s="315">
        <f t="shared" si="97"/>
        <v>540868.378209166</v>
      </c>
      <c r="O383" s="315">
        <f t="shared" si="97"/>
        <v>5324.6072504751555</v>
      </c>
      <c r="P383" s="315">
        <f t="shared" si="97"/>
        <v>132372.27906108287</v>
      </c>
      <c r="Q383" s="315">
        <f t="shared" si="97"/>
        <v>68698.296662678986</v>
      </c>
      <c r="R383" s="316"/>
      <c r="S383" s="316"/>
      <c r="T383" s="316"/>
      <c r="U383" s="316"/>
      <c r="V383" s="316"/>
      <c r="W383" s="316"/>
      <c r="X383" s="316"/>
      <c r="Y383" s="316"/>
      <c r="AQ383" s="3"/>
    </row>
    <row r="384" spans="5:43" x14ac:dyDescent="0.35">
      <c r="E384" s="27"/>
      <c r="F384" s="62" t="s">
        <v>249</v>
      </c>
      <c r="G384" s="62" t="s">
        <v>207</v>
      </c>
      <c r="J384" s="315">
        <f t="shared" si="95"/>
        <v>2888603.6716125715</v>
      </c>
      <c r="K384" s="316"/>
      <c r="L384" s="315">
        <f t="shared" si="96"/>
        <v>77561.152830440682</v>
      </c>
      <c r="M384" s="316"/>
      <c r="N384" s="315">
        <f t="shared" si="97"/>
        <v>297513.65854857687</v>
      </c>
      <c r="O384" s="315">
        <f t="shared" si="97"/>
        <v>2838.7476627806673</v>
      </c>
      <c r="P384" s="315">
        <f t="shared" si="97"/>
        <v>91206.765500012407</v>
      </c>
      <c r="Q384" s="315">
        <f t="shared" si="97"/>
        <v>107386.00037173675</v>
      </c>
      <c r="R384" s="316"/>
      <c r="S384" s="316"/>
      <c r="T384" s="316"/>
      <c r="U384" s="316"/>
      <c r="V384" s="316"/>
      <c r="W384" s="316"/>
      <c r="X384" s="316"/>
      <c r="Y384" s="316"/>
      <c r="AQ384" s="3"/>
    </row>
    <row r="385" spans="3:43" x14ac:dyDescent="0.35">
      <c r="E385" s="27"/>
      <c r="F385" s="62" t="s">
        <v>212</v>
      </c>
      <c r="G385" s="62" t="s">
        <v>212</v>
      </c>
      <c r="J385" s="315">
        <f t="shared" si="95"/>
        <v>2963525.8662584159</v>
      </c>
      <c r="K385" s="316"/>
      <c r="L385" s="315">
        <f t="shared" si="96"/>
        <v>90865.523119522884</v>
      </c>
      <c r="M385" s="316"/>
      <c r="N385" s="315">
        <f t="shared" si="97"/>
        <v>10394.009490196551</v>
      </c>
      <c r="O385" s="315">
        <f t="shared" si="97"/>
        <v>23.34697201955592</v>
      </c>
      <c r="P385" s="315">
        <f t="shared" si="97"/>
        <v>483.92215384591685</v>
      </c>
      <c r="Q385" s="315">
        <f t="shared" si="97"/>
        <v>4144.2452439404015</v>
      </c>
      <c r="R385" s="316"/>
      <c r="S385" s="316"/>
      <c r="T385" s="316"/>
      <c r="U385" s="316"/>
      <c r="V385" s="316"/>
      <c r="W385" s="316"/>
      <c r="X385" s="316"/>
      <c r="Y385" s="316"/>
      <c r="AQ385" s="3"/>
    </row>
    <row r="386" spans="3:43" x14ac:dyDescent="0.35">
      <c r="E386" s="27"/>
      <c r="F386" s="62" t="s">
        <v>250</v>
      </c>
      <c r="G386" s="62" t="s">
        <v>251</v>
      </c>
      <c r="J386" s="315">
        <f t="shared" si="95"/>
        <v>0</v>
      </c>
      <c r="K386" s="316"/>
      <c r="L386" s="315">
        <f t="shared" si="96"/>
        <v>0</v>
      </c>
      <c r="M386" s="316"/>
      <c r="N386" s="315">
        <f t="shared" si="97"/>
        <v>653945.85403257504</v>
      </c>
      <c r="O386" s="315">
        <f t="shared" si="97"/>
        <v>560.28487014752056</v>
      </c>
      <c r="P386" s="315">
        <f t="shared" si="97"/>
        <v>120679.83468783284</v>
      </c>
      <c r="Q386" s="315">
        <f t="shared" si="97"/>
        <v>0</v>
      </c>
      <c r="R386" s="316"/>
      <c r="S386" s="316"/>
      <c r="T386" s="316"/>
      <c r="U386" s="316"/>
      <c r="V386" s="316"/>
      <c r="W386" s="316"/>
      <c r="X386" s="316"/>
      <c r="Y386" s="316"/>
      <c r="AQ386" s="3"/>
    </row>
    <row r="387" spans="3:43" x14ac:dyDescent="0.35">
      <c r="E387" s="27"/>
      <c r="F387" s="62" t="s">
        <v>252</v>
      </c>
      <c r="G387" s="62" t="s">
        <v>251</v>
      </c>
      <c r="J387" s="315">
        <f t="shared" si="95"/>
        <v>0</v>
      </c>
      <c r="K387" s="316"/>
      <c r="L387" s="315">
        <f t="shared" si="96"/>
        <v>0</v>
      </c>
      <c r="M387" s="316"/>
      <c r="N387" s="315">
        <f t="shared" si="97"/>
        <v>10484.763198651995</v>
      </c>
      <c r="O387" s="315">
        <f t="shared" si="97"/>
        <v>2.4188773321338299</v>
      </c>
      <c r="P387" s="315">
        <f t="shared" si="97"/>
        <v>2489.0056111485642</v>
      </c>
      <c r="Q387" s="315">
        <f t="shared" si="97"/>
        <v>0</v>
      </c>
      <c r="R387" s="316"/>
      <c r="S387" s="316"/>
      <c r="T387" s="316"/>
      <c r="U387" s="316"/>
      <c r="V387" s="316"/>
      <c r="W387" s="316"/>
      <c r="X387" s="316"/>
      <c r="Y387" s="316"/>
      <c r="AQ387" s="3"/>
    </row>
    <row r="388" spans="3:43" x14ac:dyDescent="0.35">
      <c r="E388" s="27"/>
      <c r="F388" s="70" t="s">
        <v>253</v>
      </c>
      <c r="G388" s="70" t="s">
        <v>254</v>
      </c>
      <c r="H388" s="28"/>
      <c r="I388" s="28"/>
      <c r="J388" s="90">
        <f t="shared" si="95"/>
        <v>0</v>
      </c>
      <c r="K388" s="71"/>
      <c r="L388" s="90">
        <f t="shared" si="96"/>
        <v>0</v>
      </c>
      <c r="M388" s="71"/>
      <c r="N388" s="90">
        <f t="shared" si="97"/>
        <v>70898.466015145197</v>
      </c>
      <c r="O388" s="90">
        <f t="shared" si="97"/>
        <v>1243.5355674526093</v>
      </c>
      <c r="P388" s="90">
        <f t="shared" si="97"/>
        <v>16980.602269003644</v>
      </c>
      <c r="Q388" s="90">
        <f t="shared" si="97"/>
        <v>0</v>
      </c>
      <c r="R388" s="71"/>
      <c r="S388" s="71"/>
      <c r="T388" s="71"/>
      <c r="U388" s="71"/>
      <c r="V388" s="71"/>
      <c r="W388" s="71"/>
      <c r="X388" s="71"/>
      <c r="Y388" s="71"/>
      <c r="AQ388" s="3"/>
    </row>
    <row r="389" spans="3:43" x14ac:dyDescent="0.35">
      <c r="AQ389" s="3"/>
    </row>
    <row r="390" spans="3:43" x14ac:dyDescent="0.35">
      <c r="C390" s="26" t="str">
        <f ca="1">INDEX('Version control'!$H$38:$H$61,MATCH($A$1,'Version control'!$F$38:$F$61,0),1)&amp;"-F: Residual band 2 volume discounting"</f>
        <v>Section 104-F: Residual band 2 volume discounting</v>
      </c>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Q390" s="3"/>
    </row>
    <row r="391" spans="3:43" x14ac:dyDescent="0.35">
      <c r="C391" s="27"/>
      <c r="AQ391" s="3"/>
    </row>
    <row r="392" spans="3:43" x14ac:dyDescent="0.35">
      <c r="E392" s="27" t="s">
        <v>975</v>
      </c>
      <c r="G392" s="12"/>
      <c r="I392" t="s">
        <v>154</v>
      </c>
      <c r="AQ392" s="3"/>
    </row>
    <row r="393" spans="3:43" x14ac:dyDescent="0.35">
      <c r="E393" s="27"/>
      <c r="F393" s="68" t="s">
        <v>247</v>
      </c>
      <c r="G393" s="68" t="s">
        <v>207</v>
      </c>
      <c r="H393" s="19"/>
      <c r="I393" s="19"/>
      <c r="J393" s="73"/>
      <c r="K393" s="73"/>
      <c r="L393" s="116">
        <f t="shared" ref="L393:L399" si="98">(1 - L315) * L123</f>
        <v>67.255267389671531</v>
      </c>
      <c r="M393" s="73"/>
      <c r="N393" s="116">
        <f t="shared" ref="N393:P399" si="99">(1 - N315) * N123</f>
        <v>250.87120741094813</v>
      </c>
      <c r="O393" s="116">
        <f t="shared" si="99"/>
        <v>0</v>
      </c>
      <c r="P393" s="116">
        <f t="shared" si="99"/>
        <v>0</v>
      </c>
      <c r="Q393" s="73"/>
      <c r="R393" s="73"/>
      <c r="S393" s="73"/>
      <c r="T393" s="73"/>
      <c r="U393" s="73"/>
      <c r="V393" s="73"/>
      <c r="W393" s="73"/>
      <c r="X393" s="73"/>
      <c r="Y393" s="73"/>
      <c r="AQ393" s="3"/>
    </row>
    <row r="394" spans="3:43" x14ac:dyDescent="0.35">
      <c r="E394" s="27"/>
      <c r="F394" s="62" t="s">
        <v>248</v>
      </c>
      <c r="G394" s="62" t="s">
        <v>207</v>
      </c>
      <c r="J394" s="316"/>
      <c r="K394" s="316"/>
      <c r="L394" s="315">
        <f t="shared" si="98"/>
        <v>422.42137084343284</v>
      </c>
      <c r="M394" s="316"/>
      <c r="N394" s="315">
        <f t="shared" si="99"/>
        <v>1485.9106557946147</v>
      </c>
      <c r="O394" s="315">
        <f t="shared" si="99"/>
        <v>0</v>
      </c>
      <c r="P394" s="315">
        <f t="shared" si="99"/>
        <v>0</v>
      </c>
      <c r="Q394" s="316"/>
      <c r="R394" s="316"/>
      <c r="S394" s="316"/>
      <c r="T394" s="316"/>
      <c r="U394" s="316"/>
      <c r="V394" s="316"/>
      <c r="W394" s="316"/>
      <c r="X394" s="316"/>
      <c r="Y394" s="316"/>
      <c r="AQ394" s="3"/>
    </row>
    <row r="395" spans="3:43" x14ac:dyDescent="0.35">
      <c r="E395" s="27"/>
      <c r="F395" s="62" t="s">
        <v>249</v>
      </c>
      <c r="G395" s="62" t="s">
        <v>207</v>
      </c>
      <c r="J395" s="316"/>
      <c r="K395" s="316"/>
      <c r="L395" s="315">
        <f t="shared" si="98"/>
        <v>196.84874273539631</v>
      </c>
      <c r="M395" s="316"/>
      <c r="N395" s="315">
        <f t="shared" si="99"/>
        <v>846.95722815742351</v>
      </c>
      <c r="O395" s="315">
        <f t="shared" si="99"/>
        <v>0</v>
      </c>
      <c r="P395" s="315">
        <f t="shared" si="99"/>
        <v>0</v>
      </c>
      <c r="Q395" s="316"/>
      <c r="R395" s="316"/>
      <c r="S395" s="316"/>
      <c r="T395" s="316"/>
      <c r="U395" s="316"/>
      <c r="V395" s="316"/>
      <c r="W395" s="316"/>
      <c r="X395" s="316"/>
      <c r="Y395" s="316"/>
      <c r="AQ395" s="3"/>
    </row>
    <row r="396" spans="3:43" x14ac:dyDescent="0.35">
      <c r="E396" s="27"/>
      <c r="F396" s="62" t="s">
        <v>212</v>
      </c>
      <c r="G396" s="62" t="s">
        <v>212</v>
      </c>
      <c r="J396" s="316"/>
      <c r="K396" s="316"/>
      <c r="L396" s="315">
        <f t="shared" si="98"/>
        <v>107.23096423261815</v>
      </c>
      <c r="M396" s="316"/>
      <c r="N396" s="315">
        <f t="shared" si="99"/>
        <v>50.730788139614731</v>
      </c>
      <c r="O396" s="315">
        <f t="shared" si="99"/>
        <v>0</v>
      </c>
      <c r="P396" s="315">
        <f t="shared" si="99"/>
        <v>0</v>
      </c>
      <c r="Q396" s="316"/>
      <c r="R396" s="316"/>
      <c r="S396" s="316"/>
      <c r="T396" s="316"/>
      <c r="U396" s="316"/>
      <c r="V396" s="316"/>
      <c r="W396" s="316"/>
      <c r="X396" s="316"/>
      <c r="Y396" s="316"/>
      <c r="AQ396" s="3"/>
    </row>
    <row r="397" spans="3:43" x14ac:dyDescent="0.35">
      <c r="E397" s="27"/>
      <c r="F397" s="62" t="s">
        <v>250</v>
      </c>
      <c r="G397" s="62" t="s">
        <v>251</v>
      </c>
      <c r="J397" s="316"/>
      <c r="K397" s="316"/>
      <c r="L397" s="315">
        <f t="shared" si="98"/>
        <v>0</v>
      </c>
      <c r="M397" s="316"/>
      <c r="N397" s="315">
        <f t="shared" si="99"/>
        <v>5531.0297500155229</v>
      </c>
      <c r="O397" s="315">
        <f t="shared" si="99"/>
        <v>0</v>
      </c>
      <c r="P397" s="315">
        <f t="shared" si="99"/>
        <v>0</v>
      </c>
      <c r="Q397" s="316"/>
      <c r="R397" s="316"/>
      <c r="S397" s="316"/>
      <c r="T397" s="316"/>
      <c r="U397" s="316"/>
      <c r="V397" s="316"/>
      <c r="W397" s="316"/>
      <c r="X397" s="316"/>
      <c r="Y397" s="316"/>
      <c r="AQ397" s="3"/>
    </row>
    <row r="398" spans="3:43" x14ac:dyDescent="0.35">
      <c r="E398" s="27"/>
      <c r="F398" s="62" t="s">
        <v>252</v>
      </c>
      <c r="G398" s="62" t="s">
        <v>251</v>
      </c>
      <c r="J398" s="316"/>
      <c r="K398" s="316"/>
      <c r="L398" s="315">
        <f t="shared" si="98"/>
        <v>0</v>
      </c>
      <c r="M398" s="316"/>
      <c r="N398" s="315">
        <f t="shared" si="99"/>
        <v>11.995216807560379</v>
      </c>
      <c r="O398" s="315">
        <f t="shared" si="99"/>
        <v>0</v>
      </c>
      <c r="P398" s="315">
        <f t="shared" si="99"/>
        <v>0</v>
      </c>
      <c r="Q398" s="316"/>
      <c r="R398" s="316"/>
      <c r="S398" s="316"/>
      <c r="T398" s="316"/>
      <c r="U398" s="316"/>
      <c r="V398" s="316"/>
      <c r="W398" s="316"/>
      <c r="X398" s="316"/>
      <c r="Y398" s="316"/>
      <c r="AQ398" s="3"/>
    </row>
    <row r="399" spans="3:43" x14ac:dyDescent="0.35">
      <c r="E399" s="27"/>
      <c r="F399" s="70" t="s">
        <v>253</v>
      </c>
      <c r="G399" s="70" t="s">
        <v>254</v>
      </c>
      <c r="H399" s="28"/>
      <c r="I399" s="28"/>
      <c r="J399" s="71"/>
      <c r="K399" s="71"/>
      <c r="L399" s="90">
        <f t="shared" si="98"/>
        <v>0</v>
      </c>
      <c r="M399" s="71"/>
      <c r="N399" s="90">
        <f t="shared" si="99"/>
        <v>427.93467999683992</v>
      </c>
      <c r="O399" s="90">
        <f t="shared" si="99"/>
        <v>0</v>
      </c>
      <c r="P399" s="90">
        <f t="shared" si="99"/>
        <v>0</v>
      </c>
      <c r="Q399" s="71"/>
      <c r="R399" s="71"/>
      <c r="S399" s="71"/>
      <c r="T399" s="71"/>
      <c r="U399" s="71"/>
      <c r="V399" s="71"/>
      <c r="W399" s="71"/>
      <c r="X399" s="71"/>
      <c r="Y399" s="71"/>
      <c r="AQ399" s="3"/>
    </row>
    <row r="400" spans="3:43" x14ac:dyDescent="0.35">
      <c r="AQ400" s="3"/>
    </row>
    <row r="401" spans="5:43" x14ac:dyDescent="0.35">
      <c r="E401" s="27" t="s">
        <v>976</v>
      </c>
      <c r="G401" s="12"/>
      <c r="I401" t="s">
        <v>154</v>
      </c>
      <c r="AQ401" s="3"/>
    </row>
    <row r="402" spans="5:43" x14ac:dyDescent="0.35">
      <c r="E402" s="27"/>
      <c r="F402" s="68" t="s">
        <v>247</v>
      </c>
      <c r="G402" s="68" t="s">
        <v>207</v>
      </c>
      <c r="H402" s="19"/>
      <c r="I402" s="19"/>
      <c r="J402" s="73"/>
      <c r="K402" s="73"/>
      <c r="L402" s="116">
        <f t="shared" ref="L402:L408" si="100">(1 - L324) * L170</f>
        <v>326.68909342287299</v>
      </c>
      <c r="M402" s="73"/>
      <c r="N402" s="116">
        <f t="shared" ref="N402:P408" si="101">(1 - N324) * N170</f>
        <v>1175.7304190222253</v>
      </c>
      <c r="O402" s="116">
        <f t="shared" si="101"/>
        <v>5.9559593095599412</v>
      </c>
      <c r="P402" s="116">
        <f t="shared" si="101"/>
        <v>691.96752263337032</v>
      </c>
      <c r="Q402" s="73"/>
      <c r="R402" s="73"/>
      <c r="S402" s="73"/>
      <c r="T402" s="73"/>
      <c r="U402" s="73"/>
      <c r="V402" s="73"/>
      <c r="W402" s="73"/>
      <c r="X402" s="73"/>
      <c r="Y402" s="73"/>
      <c r="AQ402" s="3"/>
    </row>
    <row r="403" spans="5:43" x14ac:dyDescent="0.35">
      <c r="E403" s="27"/>
      <c r="F403" s="62" t="s">
        <v>248</v>
      </c>
      <c r="G403" s="62" t="s">
        <v>207</v>
      </c>
      <c r="J403" s="316"/>
      <c r="K403" s="316"/>
      <c r="L403" s="315">
        <f t="shared" si="100"/>
        <v>2059.8859396455341</v>
      </c>
      <c r="M403" s="316"/>
      <c r="N403" s="315">
        <f t="shared" si="101"/>
        <v>6355.1332020471837</v>
      </c>
      <c r="O403" s="315">
        <f t="shared" si="101"/>
        <v>33.553069606015079</v>
      </c>
      <c r="P403" s="315">
        <f t="shared" si="101"/>
        <v>4000.856974018744</v>
      </c>
      <c r="Q403" s="316"/>
      <c r="R403" s="316"/>
      <c r="S403" s="316"/>
      <c r="T403" s="316"/>
      <c r="U403" s="316"/>
      <c r="V403" s="316"/>
      <c r="W403" s="316"/>
      <c r="X403" s="316"/>
      <c r="Y403" s="316"/>
      <c r="AQ403" s="3"/>
    </row>
    <row r="404" spans="5:43" x14ac:dyDescent="0.35">
      <c r="E404" s="27"/>
      <c r="F404" s="62" t="s">
        <v>249</v>
      </c>
      <c r="G404" s="62" t="s">
        <v>207</v>
      </c>
      <c r="J404" s="316"/>
      <c r="K404" s="316"/>
      <c r="L404" s="315">
        <f t="shared" si="100"/>
        <v>919.65735997835259</v>
      </c>
      <c r="M404" s="316"/>
      <c r="N404" s="315">
        <f t="shared" si="101"/>
        <v>3580.4697011206263</v>
      </c>
      <c r="O404" s="315">
        <f t="shared" si="101"/>
        <v>17.353557093718777</v>
      </c>
      <c r="P404" s="315">
        <f t="shared" si="101"/>
        <v>2664.5141098380882</v>
      </c>
      <c r="Q404" s="316"/>
      <c r="R404" s="316"/>
      <c r="S404" s="316"/>
      <c r="T404" s="316"/>
      <c r="U404" s="316"/>
      <c r="V404" s="316"/>
      <c r="W404" s="316"/>
      <c r="X404" s="316"/>
      <c r="Y404" s="316"/>
      <c r="AQ404" s="3"/>
    </row>
    <row r="405" spans="5:43" x14ac:dyDescent="0.35">
      <c r="E405" s="27"/>
      <c r="F405" s="62" t="s">
        <v>212</v>
      </c>
      <c r="G405" s="62" t="s">
        <v>212</v>
      </c>
      <c r="J405" s="316"/>
      <c r="K405" s="316"/>
      <c r="L405" s="315">
        <f t="shared" si="100"/>
        <v>255.98935988222678</v>
      </c>
      <c r="M405" s="316"/>
      <c r="N405" s="315">
        <f t="shared" si="101"/>
        <v>142.35187173572686</v>
      </c>
      <c r="O405" s="315">
        <f t="shared" si="101"/>
        <v>1.146685751222245</v>
      </c>
      <c r="P405" s="315">
        <f t="shared" si="101"/>
        <v>5.0914352744327536</v>
      </c>
      <c r="Q405" s="316"/>
      <c r="R405" s="316"/>
      <c r="S405" s="316"/>
      <c r="T405" s="316"/>
      <c r="U405" s="316"/>
      <c r="V405" s="316"/>
      <c r="W405" s="316"/>
      <c r="X405" s="316"/>
      <c r="Y405" s="316"/>
      <c r="AQ405" s="3"/>
    </row>
    <row r="406" spans="5:43" x14ac:dyDescent="0.35">
      <c r="E406" s="27"/>
      <c r="F406" s="62" t="s">
        <v>250</v>
      </c>
      <c r="G406" s="62" t="s">
        <v>251</v>
      </c>
      <c r="J406" s="316"/>
      <c r="K406" s="316"/>
      <c r="L406" s="315">
        <f t="shared" si="100"/>
        <v>0</v>
      </c>
      <c r="M406" s="316"/>
      <c r="N406" s="315">
        <f t="shared" si="101"/>
        <v>14931.229106940229</v>
      </c>
      <c r="O406" s="315">
        <f t="shared" si="101"/>
        <v>1339.1174676635796</v>
      </c>
      <c r="P406" s="315">
        <f t="shared" si="101"/>
        <v>4075.1623981869961</v>
      </c>
      <c r="Q406" s="316"/>
      <c r="R406" s="316"/>
      <c r="S406" s="316"/>
      <c r="T406" s="316"/>
      <c r="U406" s="316"/>
      <c r="V406" s="316"/>
      <c r="W406" s="316"/>
      <c r="X406" s="316"/>
      <c r="Y406" s="316"/>
      <c r="AQ406" s="3"/>
    </row>
    <row r="407" spans="5:43" x14ac:dyDescent="0.35">
      <c r="E407" s="27"/>
      <c r="F407" s="62" t="s">
        <v>252</v>
      </c>
      <c r="G407" s="62" t="s">
        <v>251</v>
      </c>
      <c r="J407" s="316"/>
      <c r="K407" s="316"/>
      <c r="L407" s="315">
        <f t="shared" si="100"/>
        <v>0</v>
      </c>
      <c r="M407" s="316"/>
      <c r="N407" s="315">
        <f t="shared" si="101"/>
        <v>25.838311228873142</v>
      </c>
      <c r="O407" s="315">
        <f t="shared" si="101"/>
        <v>0</v>
      </c>
      <c r="P407" s="315">
        <f t="shared" si="101"/>
        <v>93.233505304809427</v>
      </c>
      <c r="Q407" s="316"/>
      <c r="R407" s="316"/>
      <c r="S407" s="316"/>
      <c r="T407" s="316"/>
      <c r="U407" s="316"/>
      <c r="V407" s="316"/>
      <c r="W407" s="316"/>
      <c r="X407" s="316"/>
      <c r="Y407" s="316"/>
      <c r="AQ407" s="3"/>
    </row>
    <row r="408" spans="5:43" x14ac:dyDescent="0.35">
      <c r="E408" s="27"/>
      <c r="F408" s="70" t="s">
        <v>253</v>
      </c>
      <c r="G408" s="70" t="s">
        <v>254</v>
      </c>
      <c r="H408" s="28"/>
      <c r="I408" s="28"/>
      <c r="J408" s="71"/>
      <c r="K408" s="71"/>
      <c r="L408" s="90">
        <f t="shared" si="100"/>
        <v>0</v>
      </c>
      <c r="M408" s="71"/>
      <c r="N408" s="90">
        <f t="shared" si="101"/>
        <v>1191.2952946308149</v>
      </c>
      <c r="O408" s="90">
        <f t="shared" si="101"/>
        <v>8.214107645730973</v>
      </c>
      <c r="P408" s="90">
        <f t="shared" si="101"/>
        <v>137.87994265454904</v>
      </c>
      <c r="Q408" s="71"/>
      <c r="R408" s="71"/>
      <c r="S408" s="71"/>
      <c r="T408" s="71"/>
      <c r="U408" s="71"/>
      <c r="V408" s="71"/>
      <c r="W408" s="71"/>
      <c r="X408" s="71"/>
      <c r="Y408" s="71"/>
      <c r="AQ408" s="3"/>
    </row>
    <row r="409" spans="5:43" x14ac:dyDescent="0.35">
      <c r="AQ409" s="3"/>
    </row>
    <row r="410" spans="5:43" x14ac:dyDescent="0.35">
      <c r="E410" s="27" t="s">
        <v>977</v>
      </c>
      <c r="G410" s="12"/>
      <c r="I410" t="s">
        <v>154</v>
      </c>
      <c r="AQ410" s="3"/>
    </row>
    <row r="411" spans="5:43" x14ac:dyDescent="0.35">
      <c r="E411" s="27"/>
      <c r="F411" s="68" t="s">
        <v>247</v>
      </c>
      <c r="G411" s="68" t="s">
        <v>207</v>
      </c>
      <c r="H411" s="19"/>
      <c r="I411" s="19"/>
      <c r="J411" s="73"/>
      <c r="K411" s="73"/>
      <c r="L411" s="116">
        <f t="shared" ref="L411:L417" si="102">L76+L393+L402</f>
        <v>53308.636840343592</v>
      </c>
      <c r="M411" s="73"/>
      <c r="N411" s="116">
        <f t="shared" ref="N411:P417" si="103">N76+N393+N402</f>
        <v>92795.466410631896</v>
      </c>
      <c r="O411" s="116">
        <f t="shared" si="103"/>
        <v>1324.0125009879946</v>
      </c>
      <c r="P411" s="116">
        <f t="shared" si="103"/>
        <v>87951.984354582004</v>
      </c>
      <c r="Q411" s="73"/>
      <c r="R411" s="73"/>
      <c r="S411" s="73"/>
      <c r="T411" s="73"/>
      <c r="U411" s="73"/>
      <c r="V411" s="73"/>
      <c r="W411" s="73"/>
      <c r="X411" s="73"/>
      <c r="Y411" s="73"/>
      <c r="AQ411" s="3"/>
    </row>
    <row r="412" spans="5:43" x14ac:dyDescent="0.35">
      <c r="E412" s="27"/>
      <c r="F412" s="62" t="s">
        <v>248</v>
      </c>
      <c r="G412" s="62" t="s">
        <v>207</v>
      </c>
      <c r="J412" s="316"/>
      <c r="K412" s="316"/>
      <c r="L412" s="315">
        <f t="shared" si="102"/>
        <v>336995.9509752866</v>
      </c>
      <c r="M412" s="316"/>
      <c r="N412" s="315">
        <f t="shared" si="103"/>
        <v>533828.61510084395</v>
      </c>
      <c r="O412" s="315">
        <f t="shared" si="103"/>
        <v>7509.1258906979429</v>
      </c>
      <c r="P412" s="315">
        <f t="shared" si="103"/>
        <v>494384.00934918207</v>
      </c>
      <c r="Q412" s="316"/>
      <c r="R412" s="316"/>
      <c r="S412" s="316"/>
      <c r="T412" s="316"/>
      <c r="U412" s="316"/>
      <c r="V412" s="316"/>
      <c r="W412" s="316"/>
      <c r="X412" s="316"/>
      <c r="Y412" s="316"/>
      <c r="AQ412" s="3"/>
    </row>
    <row r="413" spans="5:43" x14ac:dyDescent="0.35">
      <c r="E413" s="27"/>
      <c r="F413" s="62" t="s">
        <v>249</v>
      </c>
      <c r="G413" s="62" t="s">
        <v>207</v>
      </c>
      <c r="J413" s="316"/>
      <c r="K413" s="316"/>
      <c r="L413" s="315">
        <f t="shared" si="102"/>
        <v>160418.41667158221</v>
      </c>
      <c r="M413" s="316"/>
      <c r="N413" s="315">
        <f t="shared" si="103"/>
        <v>293680.01528195338</v>
      </c>
      <c r="O413" s="315">
        <f t="shared" si="103"/>
        <v>4990.7213542975524</v>
      </c>
      <c r="P413" s="315">
        <f t="shared" si="103"/>
        <v>340730.05377060751</v>
      </c>
      <c r="Q413" s="316"/>
      <c r="R413" s="316"/>
      <c r="S413" s="316"/>
      <c r="T413" s="316"/>
      <c r="U413" s="316"/>
      <c r="V413" s="316"/>
      <c r="W413" s="316"/>
      <c r="X413" s="316"/>
      <c r="Y413" s="316"/>
      <c r="AQ413" s="3"/>
    </row>
    <row r="414" spans="5:43" x14ac:dyDescent="0.35">
      <c r="E414" s="27"/>
      <c r="F414" s="62" t="s">
        <v>212</v>
      </c>
      <c r="G414" s="62" t="s">
        <v>212</v>
      </c>
      <c r="J414" s="316"/>
      <c r="K414" s="316"/>
      <c r="L414" s="315">
        <f t="shared" si="102"/>
        <v>68645.571071950631</v>
      </c>
      <c r="M414" s="316"/>
      <c r="N414" s="315">
        <f t="shared" si="103"/>
        <v>6115.2119452849101</v>
      </c>
      <c r="O414" s="315">
        <f t="shared" si="103"/>
        <v>45.082169622189987</v>
      </c>
      <c r="P414" s="315">
        <f t="shared" si="103"/>
        <v>697.58818327134566</v>
      </c>
      <c r="Q414" s="316"/>
      <c r="R414" s="316"/>
      <c r="S414" s="316"/>
      <c r="T414" s="316"/>
      <c r="U414" s="316"/>
      <c r="V414" s="316"/>
      <c r="W414" s="316"/>
      <c r="X414" s="316"/>
      <c r="Y414" s="316"/>
      <c r="AQ414" s="3"/>
    </row>
    <row r="415" spans="5:43" x14ac:dyDescent="0.35">
      <c r="E415" s="27"/>
      <c r="F415" s="62" t="s">
        <v>250</v>
      </c>
      <c r="G415" s="62" t="s">
        <v>251</v>
      </c>
      <c r="J415" s="316"/>
      <c r="K415" s="316"/>
      <c r="L415" s="315">
        <f t="shared" si="102"/>
        <v>0</v>
      </c>
      <c r="M415" s="316"/>
      <c r="N415" s="315">
        <f t="shared" si="103"/>
        <v>649500.8085869744</v>
      </c>
      <c r="O415" s="315">
        <f t="shared" si="103"/>
        <v>7307.7628560145658</v>
      </c>
      <c r="P415" s="315">
        <f t="shared" si="103"/>
        <v>454317.65299815667</v>
      </c>
      <c r="Q415" s="316"/>
      <c r="R415" s="316"/>
      <c r="S415" s="316"/>
      <c r="T415" s="316"/>
      <c r="U415" s="316"/>
      <c r="V415" s="316"/>
      <c r="W415" s="316"/>
      <c r="X415" s="316"/>
      <c r="Y415" s="316"/>
      <c r="AQ415" s="3"/>
    </row>
    <row r="416" spans="5:43" x14ac:dyDescent="0.35">
      <c r="E416" s="27"/>
      <c r="F416" s="62" t="s">
        <v>252</v>
      </c>
      <c r="G416" s="62" t="s">
        <v>251</v>
      </c>
      <c r="J416" s="316"/>
      <c r="K416" s="316"/>
      <c r="L416" s="315">
        <f t="shared" si="102"/>
        <v>0</v>
      </c>
      <c r="M416" s="316"/>
      <c r="N416" s="315">
        <f t="shared" si="103"/>
        <v>10314.664533235764</v>
      </c>
      <c r="O416" s="315">
        <f t="shared" si="103"/>
        <v>31.549275846711769</v>
      </c>
      <c r="P416" s="315">
        <f t="shared" si="103"/>
        <v>9370.2414366189678</v>
      </c>
      <c r="Q416" s="316"/>
      <c r="R416" s="316"/>
      <c r="S416" s="316"/>
      <c r="T416" s="316"/>
      <c r="U416" s="316"/>
      <c r="V416" s="316"/>
      <c r="W416" s="316"/>
      <c r="X416" s="316"/>
      <c r="Y416" s="316"/>
      <c r="AQ416" s="3"/>
    </row>
    <row r="417" spans="3:43" x14ac:dyDescent="0.35">
      <c r="E417" s="27"/>
      <c r="F417" s="70" t="s">
        <v>253</v>
      </c>
      <c r="G417" s="70" t="s">
        <v>254</v>
      </c>
      <c r="H417" s="28"/>
      <c r="I417" s="28"/>
      <c r="J417" s="71"/>
      <c r="K417" s="71"/>
      <c r="L417" s="90">
        <f t="shared" si="102"/>
        <v>0</v>
      </c>
      <c r="M417" s="71"/>
      <c r="N417" s="90">
        <f t="shared" si="103"/>
        <v>70207.247459441991</v>
      </c>
      <c r="O417" s="90">
        <f t="shared" si="103"/>
        <v>1056.0091419888774</v>
      </c>
      <c r="P417" s="90">
        <f t="shared" si="103"/>
        <v>63789.884805880785</v>
      </c>
      <c r="Q417" s="71"/>
      <c r="R417" s="71"/>
      <c r="S417" s="71"/>
      <c r="T417" s="71"/>
      <c r="U417" s="71"/>
      <c r="V417" s="71"/>
      <c r="W417" s="71"/>
      <c r="X417" s="71"/>
      <c r="Y417" s="71"/>
      <c r="AQ417" s="3"/>
    </row>
    <row r="418" spans="3:43" x14ac:dyDescent="0.35">
      <c r="AQ418" s="3"/>
    </row>
    <row r="419" spans="3:43" x14ac:dyDescent="0.35">
      <c r="C419" s="26" t="str">
        <f ca="1">INDEX('Version control'!$H$38:$H$61,MATCH($A$1,'Version control'!$F$38:$F$61,0),1)&amp;"-G: Residual band 3 volume discounting"</f>
        <v>Section 104-G: Residual band 3 volume discounting</v>
      </c>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Q419" s="3"/>
    </row>
    <row r="420" spans="3:43" x14ac:dyDescent="0.35">
      <c r="C420" s="27"/>
      <c r="AQ420" s="3"/>
    </row>
    <row r="421" spans="3:43" x14ac:dyDescent="0.35">
      <c r="E421" s="27" t="s">
        <v>972</v>
      </c>
      <c r="G421" s="12"/>
      <c r="I421" t="s">
        <v>154</v>
      </c>
      <c r="AQ421" s="3"/>
    </row>
    <row r="422" spans="3:43" x14ac:dyDescent="0.35">
      <c r="E422" s="27"/>
      <c r="F422" s="68" t="s">
        <v>247</v>
      </c>
      <c r="G422" s="68" t="s">
        <v>207</v>
      </c>
      <c r="H422" s="19"/>
      <c r="I422" s="19"/>
      <c r="J422" s="73"/>
      <c r="K422" s="73"/>
      <c r="L422" s="116">
        <f t="shared" ref="L422:L428" si="104">(1 - L315) * L132</f>
        <v>122.48580581431118</v>
      </c>
      <c r="M422" s="73"/>
      <c r="N422" s="116">
        <f t="shared" ref="N422:P428" si="105">(1 - N315) * N132</f>
        <v>422.43245323455579</v>
      </c>
      <c r="O422" s="116">
        <f t="shared" si="105"/>
        <v>0</v>
      </c>
      <c r="P422" s="116">
        <f t="shared" si="105"/>
        <v>0</v>
      </c>
      <c r="Q422" s="73"/>
      <c r="R422" s="73"/>
      <c r="S422" s="73"/>
      <c r="T422" s="73"/>
      <c r="U422" s="73"/>
      <c r="V422" s="73"/>
      <c r="W422" s="73"/>
      <c r="X422" s="73"/>
      <c r="Y422" s="73"/>
      <c r="AQ422" s="3"/>
    </row>
    <row r="423" spans="3:43" x14ac:dyDescent="0.35">
      <c r="E423" s="27"/>
      <c r="F423" s="62" t="s">
        <v>248</v>
      </c>
      <c r="G423" s="62" t="s">
        <v>207</v>
      </c>
      <c r="J423" s="316"/>
      <c r="K423" s="316"/>
      <c r="L423" s="315">
        <f t="shared" si="104"/>
        <v>769.31702168638935</v>
      </c>
      <c r="M423" s="316"/>
      <c r="N423" s="315">
        <f t="shared" si="105"/>
        <v>2502.0682528404564</v>
      </c>
      <c r="O423" s="315">
        <f t="shared" si="105"/>
        <v>0</v>
      </c>
      <c r="P423" s="315">
        <f t="shared" si="105"/>
        <v>0</v>
      </c>
      <c r="Q423" s="316"/>
      <c r="R423" s="316"/>
      <c r="S423" s="316"/>
      <c r="T423" s="316"/>
      <c r="U423" s="316"/>
      <c r="V423" s="316"/>
      <c r="W423" s="316"/>
      <c r="X423" s="316"/>
      <c r="Y423" s="316"/>
      <c r="AQ423" s="3"/>
    </row>
    <row r="424" spans="3:43" x14ac:dyDescent="0.35">
      <c r="E424" s="27"/>
      <c r="F424" s="62" t="s">
        <v>249</v>
      </c>
      <c r="G424" s="62" t="s">
        <v>207</v>
      </c>
      <c r="J424" s="316"/>
      <c r="K424" s="316"/>
      <c r="L424" s="315">
        <f t="shared" si="104"/>
        <v>358.50243130818075</v>
      </c>
      <c r="M424" s="316"/>
      <c r="N424" s="315">
        <f t="shared" si="105"/>
        <v>1426.1589576886058</v>
      </c>
      <c r="O424" s="315">
        <f t="shared" si="105"/>
        <v>0</v>
      </c>
      <c r="P424" s="315">
        <f t="shared" si="105"/>
        <v>0</v>
      </c>
      <c r="Q424" s="316"/>
      <c r="R424" s="316"/>
      <c r="S424" s="316"/>
      <c r="T424" s="316"/>
      <c r="U424" s="316"/>
      <c r="V424" s="316"/>
      <c r="W424" s="316"/>
      <c r="X424" s="316"/>
      <c r="Y424" s="316"/>
      <c r="AQ424" s="3"/>
    </row>
    <row r="425" spans="3:43" x14ac:dyDescent="0.35">
      <c r="E425" s="27"/>
      <c r="F425" s="62" t="s">
        <v>212</v>
      </c>
      <c r="G425" s="62" t="s">
        <v>212</v>
      </c>
      <c r="J425" s="316"/>
      <c r="K425" s="316"/>
      <c r="L425" s="315">
        <f t="shared" si="104"/>
        <v>133.10775741505265</v>
      </c>
      <c r="M425" s="316"/>
      <c r="N425" s="315">
        <f t="shared" si="105"/>
        <v>48.094241802609631</v>
      </c>
      <c r="O425" s="315">
        <f t="shared" si="105"/>
        <v>0</v>
      </c>
      <c r="P425" s="315">
        <f t="shared" si="105"/>
        <v>0</v>
      </c>
      <c r="Q425" s="316"/>
      <c r="R425" s="316"/>
      <c r="S425" s="316"/>
      <c r="T425" s="316"/>
      <c r="U425" s="316"/>
      <c r="V425" s="316"/>
      <c r="W425" s="316"/>
      <c r="X425" s="316"/>
      <c r="Y425" s="316"/>
      <c r="AQ425" s="3"/>
    </row>
    <row r="426" spans="3:43" x14ac:dyDescent="0.35">
      <c r="E426" s="27"/>
      <c r="F426" s="62" t="s">
        <v>250</v>
      </c>
      <c r="G426" s="62" t="s">
        <v>251</v>
      </c>
      <c r="J426" s="316"/>
      <c r="K426" s="316"/>
      <c r="L426" s="315">
        <f t="shared" si="104"/>
        <v>0</v>
      </c>
      <c r="M426" s="316"/>
      <c r="N426" s="315">
        <f t="shared" si="105"/>
        <v>9313.4899390228056</v>
      </c>
      <c r="O426" s="315">
        <f t="shared" si="105"/>
        <v>0</v>
      </c>
      <c r="P426" s="315">
        <f t="shared" si="105"/>
        <v>0</v>
      </c>
      <c r="Q426" s="316"/>
      <c r="R426" s="316"/>
      <c r="S426" s="316"/>
      <c r="T426" s="316"/>
      <c r="U426" s="316"/>
      <c r="V426" s="316"/>
      <c r="W426" s="316"/>
      <c r="X426" s="316"/>
      <c r="Y426" s="316"/>
      <c r="AQ426" s="3"/>
    </row>
    <row r="427" spans="3:43" x14ac:dyDescent="0.35">
      <c r="E427" s="27"/>
      <c r="F427" s="62" t="s">
        <v>252</v>
      </c>
      <c r="G427" s="62" t="s">
        <v>251</v>
      </c>
      <c r="J427" s="316"/>
      <c r="K427" s="316"/>
      <c r="L427" s="315">
        <f t="shared" si="104"/>
        <v>0</v>
      </c>
      <c r="M427" s="316"/>
      <c r="N427" s="315">
        <f t="shared" si="105"/>
        <v>20.198287860103687</v>
      </c>
      <c r="O427" s="315">
        <f t="shared" si="105"/>
        <v>0</v>
      </c>
      <c r="P427" s="315">
        <f t="shared" si="105"/>
        <v>0</v>
      </c>
      <c r="Q427" s="316"/>
      <c r="R427" s="316"/>
      <c r="S427" s="316"/>
      <c r="T427" s="316"/>
      <c r="U427" s="316"/>
      <c r="V427" s="316"/>
      <c r="W427" s="316"/>
      <c r="X427" s="316"/>
      <c r="Y427" s="316"/>
      <c r="AQ427" s="3"/>
    </row>
    <row r="428" spans="3:43" x14ac:dyDescent="0.35">
      <c r="E428" s="27"/>
      <c r="F428" s="70" t="s">
        <v>253</v>
      </c>
      <c r="G428" s="70" t="s">
        <v>254</v>
      </c>
      <c r="H428" s="28"/>
      <c r="I428" s="28"/>
      <c r="J428" s="71"/>
      <c r="K428" s="71"/>
      <c r="L428" s="90">
        <f t="shared" si="104"/>
        <v>0</v>
      </c>
      <c r="M428" s="71"/>
      <c r="N428" s="90">
        <f t="shared" si="105"/>
        <v>720.58287820605699</v>
      </c>
      <c r="O428" s="90">
        <f t="shared" si="105"/>
        <v>0</v>
      </c>
      <c r="P428" s="90">
        <f t="shared" si="105"/>
        <v>0</v>
      </c>
      <c r="Q428" s="71"/>
      <c r="R428" s="71"/>
      <c r="S428" s="71"/>
      <c r="T428" s="71"/>
      <c r="U428" s="71"/>
      <c r="V428" s="71"/>
      <c r="W428" s="71"/>
      <c r="X428" s="71"/>
      <c r="Y428" s="71"/>
      <c r="AQ428" s="3"/>
    </row>
    <row r="429" spans="3:43" x14ac:dyDescent="0.35">
      <c r="AQ429" s="3"/>
    </row>
    <row r="430" spans="3:43" x14ac:dyDescent="0.35">
      <c r="E430" s="27" t="s">
        <v>973</v>
      </c>
      <c r="G430" s="12"/>
      <c r="I430" t="s">
        <v>154</v>
      </c>
      <c r="AQ430" s="3"/>
    </row>
    <row r="431" spans="3:43" x14ac:dyDescent="0.35">
      <c r="E431" s="27"/>
      <c r="F431" s="68" t="s">
        <v>247</v>
      </c>
      <c r="G431" s="68" t="s">
        <v>207</v>
      </c>
      <c r="H431" s="19"/>
      <c r="I431" s="19"/>
      <c r="J431" s="73"/>
      <c r="K431" s="73"/>
      <c r="L431" s="116">
        <f t="shared" ref="L431:L437" si="106">(1 - L324) * L179</f>
        <v>240.75627825157105</v>
      </c>
      <c r="M431" s="73"/>
      <c r="N431" s="116">
        <f t="shared" ref="N431:P437" si="107">(1 - N324) * N179</f>
        <v>894.67073728000389</v>
      </c>
      <c r="O431" s="116">
        <f t="shared" si="107"/>
        <v>30.126369025240471</v>
      </c>
      <c r="P431" s="116">
        <f t="shared" si="107"/>
        <v>100.23161705404181</v>
      </c>
      <c r="Q431" s="73"/>
      <c r="R431" s="73"/>
      <c r="S431" s="73"/>
      <c r="T431" s="73"/>
      <c r="U431" s="73"/>
      <c r="V431" s="73"/>
      <c r="W431" s="73"/>
      <c r="X431" s="73"/>
      <c r="Y431" s="73"/>
      <c r="AQ431" s="3"/>
    </row>
    <row r="432" spans="3:43" x14ac:dyDescent="0.35">
      <c r="E432" s="27"/>
      <c r="F432" s="62" t="s">
        <v>248</v>
      </c>
      <c r="G432" s="62" t="s">
        <v>207</v>
      </c>
      <c r="J432" s="316"/>
      <c r="K432" s="316"/>
      <c r="L432" s="315">
        <f t="shared" si="106"/>
        <v>1518.0502882900248</v>
      </c>
      <c r="M432" s="316"/>
      <c r="N432" s="315">
        <f t="shared" si="107"/>
        <v>4835.9314477179532</v>
      </c>
      <c r="O432" s="315">
        <f t="shared" si="107"/>
        <v>169.71777413890294</v>
      </c>
      <c r="P432" s="315">
        <f t="shared" si="107"/>
        <v>579.52483460746203</v>
      </c>
      <c r="Q432" s="316"/>
      <c r="R432" s="316"/>
      <c r="S432" s="316"/>
      <c r="T432" s="316"/>
      <c r="U432" s="316"/>
      <c r="V432" s="316"/>
      <c r="W432" s="316"/>
      <c r="X432" s="316"/>
      <c r="Y432" s="316"/>
      <c r="AQ432" s="3"/>
    </row>
    <row r="433" spans="3:43" x14ac:dyDescent="0.35">
      <c r="E433" s="27"/>
      <c r="F433" s="62" t="s">
        <v>249</v>
      </c>
      <c r="G433" s="62" t="s">
        <v>207</v>
      </c>
      <c r="J433" s="316"/>
      <c r="K433" s="316"/>
      <c r="L433" s="315">
        <f t="shared" si="106"/>
        <v>677.74923532097125</v>
      </c>
      <c r="M433" s="316"/>
      <c r="N433" s="315">
        <f t="shared" si="107"/>
        <v>2724.5543837968453</v>
      </c>
      <c r="O433" s="315">
        <f t="shared" si="107"/>
        <v>87.777574985578397</v>
      </c>
      <c r="P433" s="315">
        <f t="shared" si="107"/>
        <v>385.955336279395</v>
      </c>
      <c r="Q433" s="316"/>
      <c r="R433" s="316"/>
      <c r="S433" s="316"/>
      <c r="T433" s="316"/>
      <c r="U433" s="316"/>
      <c r="V433" s="316"/>
      <c r="W433" s="316"/>
      <c r="X433" s="316"/>
      <c r="Y433" s="316"/>
      <c r="AQ433" s="3"/>
    </row>
    <row r="434" spans="3:43" x14ac:dyDescent="0.35">
      <c r="E434" s="27"/>
      <c r="F434" s="62" t="s">
        <v>212</v>
      </c>
      <c r="G434" s="62" t="s">
        <v>212</v>
      </c>
      <c r="J434" s="316"/>
      <c r="K434" s="316"/>
      <c r="L434" s="315">
        <f t="shared" si="106"/>
        <v>378.54224504493351</v>
      </c>
      <c r="M434" s="316"/>
      <c r="N434" s="315">
        <f t="shared" si="107"/>
        <v>60.104465571262416</v>
      </c>
      <c r="O434" s="315">
        <f t="shared" si="107"/>
        <v>3.4400572536667342</v>
      </c>
      <c r="P434" s="315">
        <f t="shared" si="107"/>
        <v>1.6971450914775845</v>
      </c>
      <c r="Q434" s="316"/>
      <c r="R434" s="316"/>
      <c r="S434" s="316"/>
      <c r="T434" s="316"/>
      <c r="U434" s="316"/>
      <c r="V434" s="316"/>
      <c r="W434" s="316"/>
      <c r="X434" s="316"/>
      <c r="Y434" s="316"/>
      <c r="AQ434" s="3"/>
    </row>
    <row r="435" spans="3:43" x14ac:dyDescent="0.35">
      <c r="E435" s="27"/>
      <c r="F435" s="62" t="s">
        <v>250</v>
      </c>
      <c r="G435" s="62" t="s">
        <v>251</v>
      </c>
      <c r="J435" s="316"/>
      <c r="K435" s="316"/>
      <c r="L435" s="315">
        <f t="shared" si="106"/>
        <v>0</v>
      </c>
      <c r="M435" s="316"/>
      <c r="N435" s="315">
        <f t="shared" si="107"/>
        <v>11361.901961090918</v>
      </c>
      <c r="O435" s="315">
        <f t="shared" si="107"/>
        <v>2050.5819229026292</v>
      </c>
      <c r="P435" s="315">
        <f t="shared" si="107"/>
        <v>3222.1191749142254</v>
      </c>
      <c r="Q435" s="316"/>
      <c r="R435" s="316"/>
      <c r="S435" s="316"/>
      <c r="T435" s="316"/>
      <c r="U435" s="316"/>
      <c r="V435" s="316"/>
      <c r="W435" s="316"/>
      <c r="X435" s="316"/>
      <c r="Y435" s="316"/>
      <c r="AQ435" s="3"/>
    </row>
    <row r="436" spans="3:43" x14ac:dyDescent="0.35">
      <c r="E436" s="27"/>
      <c r="F436" s="62" t="s">
        <v>252</v>
      </c>
      <c r="G436" s="62" t="s">
        <v>251</v>
      </c>
      <c r="J436" s="316"/>
      <c r="K436" s="316"/>
      <c r="L436" s="315">
        <f t="shared" si="106"/>
        <v>0</v>
      </c>
      <c r="M436" s="316"/>
      <c r="N436" s="315">
        <f t="shared" si="107"/>
        <v>19.661633809245814</v>
      </c>
      <c r="O436" s="315">
        <f t="shared" si="107"/>
        <v>0</v>
      </c>
      <c r="P436" s="315">
        <f t="shared" si="107"/>
        <v>73.717176356147945</v>
      </c>
      <c r="Q436" s="316"/>
      <c r="R436" s="316"/>
      <c r="S436" s="316"/>
      <c r="T436" s="316"/>
      <c r="U436" s="316"/>
      <c r="V436" s="316"/>
      <c r="W436" s="316"/>
      <c r="X436" s="316"/>
      <c r="Y436" s="316"/>
      <c r="AQ436" s="3"/>
    </row>
    <row r="437" spans="3:43" x14ac:dyDescent="0.35">
      <c r="E437" s="27"/>
      <c r="F437" s="70" t="s">
        <v>253</v>
      </c>
      <c r="G437" s="70" t="s">
        <v>254</v>
      </c>
      <c r="H437" s="28"/>
      <c r="I437" s="28"/>
      <c r="J437" s="71"/>
      <c r="K437" s="71"/>
      <c r="L437" s="90">
        <f t="shared" si="106"/>
        <v>0</v>
      </c>
      <c r="M437" s="71"/>
      <c r="N437" s="90">
        <f t="shared" si="107"/>
        <v>906.51481183239082</v>
      </c>
      <c r="O437" s="90">
        <f t="shared" si="107"/>
        <v>41.548510539878812</v>
      </c>
      <c r="P437" s="90">
        <f t="shared" si="107"/>
        <v>19.971933883530408</v>
      </c>
      <c r="Q437" s="71"/>
      <c r="R437" s="71"/>
      <c r="S437" s="71"/>
      <c r="T437" s="71"/>
      <c r="U437" s="71"/>
      <c r="V437" s="71"/>
      <c r="W437" s="71"/>
      <c r="X437" s="71"/>
      <c r="Y437" s="71"/>
      <c r="AQ437" s="3"/>
    </row>
    <row r="438" spans="3:43" x14ac:dyDescent="0.35">
      <c r="AQ438" s="3"/>
    </row>
    <row r="439" spans="3:43" x14ac:dyDescent="0.35">
      <c r="E439" s="27" t="s">
        <v>974</v>
      </c>
      <c r="G439" s="12"/>
      <c r="I439" t="s">
        <v>154</v>
      </c>
      <c r="AQ439" s="3"/>
    </row>
    <row r="440" spans="3:43" x14ac:dyDescent="0.35">
      <c r="E440" s="27"/>
      <c r="F440" s="68" t="s">
        <v>247</v>
      </c>
      <c r="G440" s="68" t="s">
        <v>207</v>
      </c>
      <c r="H440" s="19"/>
      <c r="I440" s="19"/>
      <c r="J440" s="73"/>
      <c r="K440" s="73"/>
      <c r="L440" s="116">
        <f t="shared" ref="L440:L446" si="108">L85+L422+L431</f>
        <v>61372.471389463608</v>
      </c>
      <c r="M440" s="73"/>
      <c r="N440" s="116">
        <f t="shared" ref="N440:P446" si="109">N85+N422+N431</f>
        <v>74972.336620176618</v>
      </c>
      <c r="O440" s="116">
        <f t="shared" si="109"/>
        <v>2048.4578320932455</v>
      </c>
      <c r="P440" s="116">
        <f t="shared" si="109"/>
        <v>69094.334419594219</v>
      </c>
      <c r="Q440" s="73"/>
      <c r="R440" s="73"/>
      <c r="S440" s="73"/>
      <c r="T440" s="73"/>
      <c r="U440" s="73"/>
      <c r="V440" s="73"/>
      <c r="W440" s="73"/>
      <c r="X440" s="73"/>
      <c r="Y440" s="73"/>
      <c r="AQ440" s="3"/>
    </row>
    <row r="441" spans="3:43" x14ac:dyDescent="0.35">
      <c r="E441" s="27"/>
      <c r="F441" s="62" t="s">
        <v>248</v>
      </c>
      <c r="G441" s="62" t="s">
        <v>207</v>
      </c>
      <c r="J441" s="316"/>
      <c r="K441" s="316"/>
      <c r="L441" s="315">
        <f t="shared" si="108"/>
        <v>387972.67768051894</v>
      </c>
      <c r="M441" s="316"/>
      <c r="N441" s="315">
        <f t="shared" si="109"/>
        <v>431352.65099897637</v>
      </c>
      <c r="O441" s="315">
        <f t="shared" si="109"/>
        <v>11617.014117019871</v>
      </c>
      <c r="P441" s="315">
        <f t="shared" si="109"/>
        <v>388312.03802864812</v>
      </c>
      <c r="Q441" s="316"/>
      <c r="R441" s="316"/>
      <c r="S441" s="316"/>
      <c r="T441" s="316"/>
      <c r="U441" s="316"/>
      <c r="V441" s="316"/>
      <c r="W441" s="316"/>
      <c r="X441" s="316"/>
      <c r="Y441" s="316"/>
      <c r="AQ441" s="3"/>
    </row>
    <row r="442" spans="3:43" x14ac:dyDescent="0.35">
      <c r="E442" s="27"/>
      <c r="F442" s="62" t="s">
        <v>249</v>
      </c>
      <c r="G442" s="62" t="s">
        <v>207</v>
      </c>
      <c r="J442" s="316"/>
      <c r="K442" s="316"/>
      <c r="L442" s="315">
        <f t="shared" si="108"/>
        <v>184707.106305794</v>
      </c>
      <c r="M442" s="316"/>
      <c r="N442" s="315">
        <f t="shared" si="109"/>
        <v>237326.06213858156</v>
      </c>
      <c r="O442" s="315">
        <f t="shared" si="109"/>
        <v>7703.4635376858459</v>
      </c>
      <c r="P442" s="315">
        <f t="shared" si="109"/>
        <v>267685.10842114908</v>
      </c>
      <c r="Q442" s="316"/>
      <c r="R442" s="316"/>
      <c r="S442" s="316"/>
      <c r="T442" s="316"/>
      <c r="U442" s="316"/>
      <c r="V442" s="316"/>
      <c r="W442" s="316"/>
      <c r="X442" s="316"/>
      <c r="Y442" s="316"/>
      <c r="AQ442" s="3"/>
    </row>
    <row r="443" spans="3:43" x14ac:dyDescent="0.35">
      <c r="E443" s="27"/>
      <c r="F443" s="62" t="s">
        <v>212</v>
      </c>
      <c r="G443" s="62" t="s">
        <v>212</v>
      </c>
      <c r="J443" s="316"/>
      <c r="K443" s="316"/>
      <c r="L443" s="315">
        <f t="shared" si="108"/>
        <v>35687.206127422673</v>
      </c>
      <c r="M443" s="316"/>
      <c r="N443" s="315">
        <f t="shared" si="109"/>
        <v>2929.0665415420949</v>
      </c>
      <c r="O443" s="315">
        <f t="shared" si="109"/>
        <v>55.40779918915063</v>
      </c>
      <c r="P443" s="315">
        <f t="shared" si="109"/>
        <v>279.74459135180666</v>
      </c>
      <c r="Q443" s="316"/>
      <c r="R443" s="316"/>
      <c r="S443" s="316"/>
      <c r="T443" s="316"/>
      <c r="U443" s="316"/>
      <c r="V443" s="316"/>
      <c r="W443" s="316"/>
      <c r="X443" s="316"/>
      <c r="Y443" s="316"/>
      <c r="AQ443" s="3"/>
    </row>
    <row r="444" spans="3:43" x14ac:dyDescent="0.35">
      <c r="E444" s="27"/>
      <c r="F444" s="62" t="s">
        <v>250</v>
      </c>
      <c r="G444" s="62" t="s">
        <v>251</v>
      </c>
      <c r="J444" s="316"/>
      <c r="K444" s="316"/>
      <c r="L444" s="315">
        <f t="shared" si="108"/>
        <v>0</v>
      </c>
      <c r="M444" s="316"/>
      <c r="N444" s="315">
        <f t="shared" si="109"/>
        <v>527762.58539924154</v>
      </c>
      <c r="O444" s="315">
        <f t="shared" si="109"/>
        <v>11190.330027990804</v>
      </c>
      <c r="P444" s="315">
        <f t="shared" si="109"/>
        <v>359216.51168519043</v>
      </c>
      <c r="Q444" s="316"/>
      <c r="R444" s="316"/>
      <c r="S444" s="316"/>
      <c r="T444" s="316"/>
      <c r="U444" s="316"/>
      <c r="V444" s="316"/>
      <c r="W444" s="316"/>
      <c r="X444" s="316"/>
      <c r="Y444" s="316"/>
      <c r="AQ444" s="3"/>
    </row>
    <row r="445" spans="3:43" x14ac:dyDescent="0.35">
      <c r="E445" s="27"/>
      <c r="F445" s="62" t="s">
        <v>252</v>
      </c>
      <c r="G445" s="62" t="s">
        <v>251</v>
      </c>
      <c r="J445" s="316"/>
      <c r="K445" s="316"/>
      <c r="L445" s="315">
        <f t="shared" si="108"/>
        <v>0</v>
      </c>
      <c r="M445" s="316"/>
      <c r="N445" s="315">
        <f t="shared" si="109"/>
        <v>8324.327375576584</v>
      </c>
      <c r="O445" s="315">
        <f t="shared" si="109"/>
        <v>48.311202186624435</v>
      </c>
      <c r="P445" s="315">
        <f t="shared" si="109"/>
        <v>7408.7929894371728</v>
      </c>
      <c r="Q445" s="316"/>
      <c r="R445" s="316"/>
      <c r="S445" s="316"/>
      <c r="T445" s="316"/>
      <c r="U445" s="316"/>
      <c r="V445" s="316"/>
      <c r="W445" s="316"/>
      <c r="X445" s="316"/>
      <c r="Y445" s="316"/>
      <c r="AQ445" s="3"/>
    </row>
    <row r="446" spans="3:43" x14ac:dyDescent="0.35">
      <c r="E446" s="27"/>
      <c r="F446" s="70" t="s">
        <v>253</v>
      </c>
      <c r="G446" s="70" t="s">
        <v>254</v>
      </c>
      <c r="H446" s="28"/>
      <c r="I446" s="28"/>
      <c r="J446" s="71"/>
      <c r="K446" s="71"/>
      <c r="L446" s="90">
        <f t="shared" si="108"/>
        <v>0</v>
      </c>
      <c r="M446" s="71"/>
      <c r="N446" s="90">
        <f t="shared" si="109"/>
        <v>56917.994104846592</v>
      </c>
      <c r="O446" s="90">
        <f t="shared" si="109"/>
        <v>1646.0302742494805</v>
      </c>
      <c r="P446" s="90">
        <f t="shared" si="109"/>
        <v>50347.866960295098</v>
      </c>
      <c r="Q446" s="71"/>
      <c r="R446" s="71"/>
      <c r="S446" s="71"/>
      <c r="T446" s="71"/>
      <c r="U446" s="71"/>
      <c r="V446" s="71"/>
      <c r="W446" s="71"/>
      <c r="X446" s="71"/>
      <c r="Y446" s="71"/>
      <c r="AQ446" s="3"/>
    </row>
    <row r="447" spans="3:43" x14ac:dyDescent="0.35">
      <c r="AQ447" s="3"/>
    </row>
    <row r="448" spans="3:43" x14ac:dyDescent="0.35">
      <c r="C448" s="26" t="str">
        <f ca="1">INDEX('Version control'!$H$38:$H$61,MATCH($A$1,'Version control'!$F$38:$F$61,0),1)&amp;"-H: Residual band 4 volume discounting"</f>
        <v>Section 104-H: Residual band 4 volume discounting</v>
      </c>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Q448" s="3"/>
    </row>
    <row r="449" spans="3:43" x14ac:dyDescent="0.35">
      <c r="C449" s="27"/>
      <c r="AQ449" s="3"/>
    </row>
    <row r="450" spans="3:43" x14ac:dyDescent="0.35">
      <c r="E450" s="27" t="s">
        <v>969</v>
      </c>
      <c r="G450" s="12"/>
      <c r="I450" t="s">
        <v>154</v>
      </c>
      <c r="AQ450" s="3"/>
    </row>
    <row r="451" spans="3:43" x14ac:dyDescent="0.35">
      <c r="E451" s="27"/>
      <c r="F451" s="68" t="s">
        <v>247</v>
      </c>
      <c r="G451" s="68" t="s">
        <v>207</v>
      </c>
      <c r="H451" s="19"/>
      <c r="I451" s="19"/>
      <c r="J451" s="73"/>
      <c r="K451" s="73"/>
      <c r="L451" s="116">
        <f t="shared" ref="L451:L457" si="110">(1 - L315) * L141</f>
        <v>131.57856182779412</v>
      </c>
      <c r="M451" s="73"/>
      <c r="N451" s="116">
        <f t="shared" ref="N451:P457" si="111">(1 - N315) * N141</f>
        <v>234.10977240789941</v>
      </c>
      <c r="O451" s="116">
        <f t="shared" si="111"/>
        <v>0</v>
      </c>
      <c r="P451" s="116">
        <f t="shared" si="111"/>
        <v>0</v>
      </c>
      <c r="Q451" s="73"/>
      <c r="R451" s="73"/>
      <c r="S451" s="73"/>
      <c r="T451" s="73"/>
      <c r="U451" s="73"/>
      <c r="V451" s="73"/>
      <c r="W451" s="73"/>
      <c r="X451" s="73"/>
      <c r="Y451" s="73"/>
      <c r="AQ451" s="3"/>
    </row>
    <row r="452" spans="3:43" x14ac:dyDescent="0.35">
      <c r="E452" s="27"/>
      <c r="F452" s="62" t="s">
        <v>248</v>
      </c>
      <c r="G452" s="62" t="s">
        <v>207</v>
      </c>
      <c r="J452" s="316"/>
      <c r="K452" s="316"/>
      <c r="L452" s="315">
        <f t="shared" si="110"/>
        <v>826.42741034496123</v>
      </c>
      <c r="M452" s="316"/>
      <c r="N452" s="315">
        <f t="shared" si="111"/>
        <v>1386.6326432459655</v>
      </c>
      <c r="O452" s="315">
        <f t="shared" si="111"/>
        <v>0</v>
      </c>
      <c r="P452" s="315">
        <f t="shared" si="111"/>
        <v>0</v>
      </c>
      <c r="Q452" s="316"/>
      <c r="R452" s="316"/>
      <c r="S452" s="316"/>
      <c r="T452" s="316"/>
      <c r="U452" s="316"/>
      <c r="V452" s="316"/>
      <c r="W452" s="316"/>
      <c r="X452" s="316"/>
      <c r="Y452" s="316"/>
      <c r="AQ452" s="3"/>
    </row>
    <row r="453" spans="3:43" x14ac:dyDescent="0.35">
      <c r="E453" s="27"/>
      <c r="F453" s="62" t="s">
        <v>249</v>
      </c>
      <c r="G453" s="62" t="s">
        <v>207</v>
      </c>
      <c r="J453" s="316"/>
      <c r="K453" s="316"/>
      <c r="L453" s="315">
        <f t="shared" si="110"/>
        <v>385.1159243284867</v>
      </c>
      <c r="M453" s="316"/>
      <c r="N453" s="315">
        <f t="shared" si="111"/>
        <v>790.36955244672174</v>
      </c>
      <c r="O453" s="315">
        <f t="shared" si="111"/>
        <v>0</v>
      </c>
      <c r="P453" s="315">
        <f t="shared" si="111"/>
        <v>0</v>
      </c>
      <c r="Q453" s="316"/>
      <c r="R453" s="316"/>
      <c r="S453" s="316"/>
      <c r="T453" s="316"/>
      <c r="U453" s="316"/>
      <c r="V453" s="316"/>
      <c r="W453" s="316"/>
      <c r="X453" s="316"/>
      <c r="Y453" s="316"/>
      <c r="AQ453" s="3"/>
    </row>
    <row r="454" spans="3:43" x14ac:dyDescent="0.35">
      <c r="E454" s="27"/>
      <c r="F454" s="62" t="s">
        <v>212</v>
      </c>
      <c r="G454" s="62" t="s">
        <v>212</v>
      </c>
      <c r="J454" s="316"/>
      <c r="K454" s="316"/>
      <c r="L454" s="315">
        <f t="shared" si="110"/>
        <v>47.697737020967722</v>
      </c>
      <c r="M454" s="316"/>
      <c r="N454" s="315">
        <f t="shared" si="111"/>
        <v>20.433234111789268</v>
      </c>
      <c r="O454" s="315">
        <f t="shared" si="111"/>
        <v>0</v>
      </c>
      <c r="P454" s="315">
        <f t="shared" si="111"/>
        <v>0</v>
      </c>
      <c r="Q454" s="316"/>
      <c r="R454" s="316"/>
      <c r="S454" s="316"/>
      <c r="T454" s="316"/>
      <c r="U454" s="316"/>
      <c r="V454" s="316"/>
      <c r="W454" s="316"/>
      <c r="X454" s="316"/>
      <c r="Y454" s="316"/>
      <c r="AQ454" s="3"/>
    </row>
    <row r="455" spans="3:43" x14ac:dyDescent="0.35">
      <c r="E455" s="27"/>
      <c r="F455" s="62" t="s">
        <v>250</v>
      </c>
      <c r="G455" s="62" t="s">
        <v>251</v>
      </c>
      <c r="J455" s="316"/>
      <c r="K455" s="316"/>
      <c r="L455" s="315">
        <f t="shared" si="110"/>
        <v>0</v>
      </c>
      <c r="M455" s="316"/>
      <c r="N455" s="315">
        <f t="shared" si="111"/>
        <v>5161.4855659236819</v>
      </c>
      <c r="O455" s="315">
        <f t="shared" si="111"/>
        <v>0</v>
      </c>
      <c r="P455" s="315">
        <f t="shared" si="111"/>
        <v>0</v>
      </c>
      <c r="Q455" s="316"/>
      <c r="R455" s="316"/>
      <c r="S455" s="316"/>
      <c r="T455" s="316"/>
      <c r="U455" s="316"/>
      <c r="V455" s="316"/>
      <c r="W455" s="316"/>
      <c r="X455" s="316"/>
      <c r="Y455" s="316"/>
      <c r="AQ455" s="3"/>
    </row>
    <row r="456" spans="3:43" x14ac:dyDescent="0.35">
      <c r="E456" s="27"/>
      <c r="F456" s="62" t="s">
        <v>252</v>
      </c>
      <c r="G456" s="62" t="s">
        <v>251</v>
      </c>
      <c r="J456" s="316"/>
      <c r="K456" s="316"/>
      <c r="L456" s="315">
        <f t="shared" si="110"/>
        <v>0</v>
      </c>
      <c r="M456" s="316"/>
      <c r="N456" s="315">
        <f t="shared" si="111"/>
        <v>11.193781485658123</v>
      </c>
      <c r="O456" s="315">
        <f t="shared" si="111"/>
        <v>0</v>
      </c>
      <c r="P456" s="315">
        <f t="shared" si="111"/>
        <v>0</v>
      </c>
      <c r="Q456" s="316"/>
      <c r="R456" s="316"/>
      <c r="S456" s="316"/>
      <c r="T456" s="316"/>
      <c r="U456" s="316"/>
      <c r="V456" s="316"/>
      <c r="W456" s="316"/>
      <c r="X456" s="316"/>
      <c r="Y456" s="316"/>
      <c r="AQ456" s="3"/>
    </row>
    <row r="457" spans="3:43" x14ac:dyDescent="0.35">
      <c r="E457" s="27"/>
      <c r="F457" s="70" t="s">
        <v>253</v>
      </c>
      <c r="G457" s="70" t="s">
        <v>254</v>
      </c>
      <c r="H457" s="28"/>
      <c r="I457" s="28"/>
      <c r="J457" s="71"/>
      <c r="K457" s="71"/>
      <c r="L457" s="90">
        <f t="shared" si="110"/>
        <v>0</v>
      </c>
      <c r="M457" s="71"/>
      <c r="N457" s="90">
        <f t="shared" si="111"/>
        <v>399.34311941743948</v>
      </c>
      <c r="O457" s="90">
        <f t="shared" si="111"/>
        <v>0</v>
      </c>
      <c r="P457" s="90">
        <f t="shared" si="111"/>
        <v>0</v>
      </c>
      <c r="Q457" s="71"/>
      <c r="R457" s="71"/>
      <c r="S457" s="71"/>
      <c r="T457" s="71"/>
      <c r="U457" s="71"/>
      <c r="V457" s="71"/>
      <c r="W457" s="71"/>
      <c r="X457" s="71"/>
      <c r="Y457" s="71"/>
      <c r="AQ457" s="3"/>
    </row>
    <row r="458" spans="3:43" x14ac:dyDescent="0.35">
      <c r="AQ458" s="3"/>
    </row>
    <row r="459" spans="3:43" x14ac:dyDescent="0.35">
      <c r="E459" s="27" t="s">
        <v>970</v>
      </c>
      <c r="G459" s="12"/>
      <c r="I459" t="s">
        <v>154</v>
      </c>
      <c r="AQ459" s="3"/>
    </row>
    <row r="460" spans="3:43" x14ac:dyDescent="0.35">
      <c r="E460" s="27"/>
      <c r="F460" s="68" t="s">
        <v>247</v>
      </c>
      <c r="G460" s="68" t="s">
        <v>207</v>
      </c>
      <c r="H460" s="19"/>
      <c r="I460" s="19"/>
      <c r="J460" s="73"/>
      <c r="K460" s="73"/>
      <c r="L460" s="116">
        <f t="shared" ref="L460:L466" si="112">(1 - L324) * L188</f>
        <v>0</v>
      </c>
      <c r="M460" s="73"/>
      <c r="N460" s="116">
        <f t="shared" ref="N460:P466" si="113">(1 - N324) * N188</f>
        <v>3614.8893684290597</v>
      </c>
      <c r="O460" s="116">
        <f t="shared" si="113"/>
        <v>542.48640141760882</v>
      </c>
      <c r="P460" s="116">
        <f t="shared" si="113"/>
        <v>911.72312551070524</v>
      </c>
      <c r="Q460" s="73"/>
      <c r="R460" s="73"/>
      <c r="S460" s="73"/>
      <c r="T460" s="73"/>
      <c r="U460" s="73"/>
      <c r="V460" s="73"/>
      <c r="W460" s="73"/>
      <c r="X460" s="73"/>
      <c r="Y460" s="73"/>
      <c r="AQ460" s="3"/>
    </row>
    <row r="461" spans="3:43" x14ac:dyDescent="0.35">
      <c r="E461" s="27"/>
      <c r="F461" s="62" t="s">
        <v>248</v>
      </c>
      <c r="G461" s="62" t="s">
        <v>207</v>
      </c>
      <c r="J461" s="316"/>
      <c r="K461" s="316"/>
      <c r="L461" s="315">
        <f t="shared" si="112"/>
        <v>0</v>
      </c>
      <c r="M461" s="316"/>
      <c r="N461" s="315">
        <f t="shared" si="113"/>
        <v>19539.431042480002</v>
      </c>
      <c r="O461" s="315">
        <f t="shared" si="113"/>
        <v>3056.112884764912</v>
      </c>
      <c r="P461" s="315">
        <f t="shared" si="113"/>
        <v>5271.4523525497052</v>
      </c>
      <c r="Q461" s="316"/>
      <c r="R461" s="316"/>
      <c r="S461" s="316"/>
      <c r="T461" s="316"/>
      <c r="U461" s="316"/>
      <c r="V461" s="316"/>
      <c r="W461" s="316"/>
      <c r="X461" s="316"/>
      <c r="Y461" s="316"/>
      <c r="AQ461" s="3"/>
    </row>
    <row r="462" spans="3:43" x14ac:dyDescent="0.35">
      <c r="E462" s="27"/>
      <c r="F462" s="62" t="s">
        <v>249</v>
      </c>
      <c r="G462" s="62" t="s">
        <v>207</v>
      </c>
      <c r="J462" s="316"/>
      <c r="K462" s="316"/>
      <c r="L462" s="315">
        <f t="shared" si="112"/>
        <v>0</v>
      </c>
      <c r="M462" s="316"/>
      <c r="N462" s="315">
        <f t="shared" si="113"/>
        <v>11008.477493783936</v>
      </c>
      <c r="O462" s="315">
        <f t="shared" si="113"/>
        <v>1580.6133403994127</v>
      </c>
      <c r="P462" s="315">
        <f t="shared" si="113"/>
        <v>3510.7126457957875</v>
      </c>
      <c r="Q462" s="316"/>
      <c r="R462" s="316"/>
      <c r="S462" s="316"/>
      <c r="T462" s="316"/>
      <c r="U462" s="316"/>
      <c r="V462" s="316"/>
      <c r="W462" s="316"/>
      <c r="X462" s="316"/>
      <c r="Y462" s="316"/>
      <c r="AQ462" s="3"/>
    </row>
    <row r="463" spans="3:43" x14ac:dyDescent="0.35">
      <c r="E463" s="27"/>
      <c r="F463" s="62" t="s">
        <v>212</v>
      </c>
      <c r="G463" s="62" t="s">
        <v>212</v>
      </c>
      <c r="J463" s="316"/>
      <c r="K463" s="316"/>
      <c r="L463" s="315">
        <f t="shared" si="112"/>
        <v>104.63579668862684</v>
      </c>
      <c r="M463" s="316"/>
      <c r="N463" s="315">
        <f t="shared" si="113"/>
        <v>88.048579620779023</v>
      </c>
      <c r="O463" s="315">
        <f t="shared" si="113"/>
        <v>26.188822963398408</v>
      </c>
      <c r="P463" s="315">
        <f t="shared" si="113"/>
        <v>2.5457176372163768</v>
      </c>
      <c r="Q463" s="316"/>
      <c r="R463" s="316"/>
      <c r="S463" s="316"/>
      <c r="T463" s="316"/>
      <c r="U463" s="316"/>
      <c r="V463" s="316"/>
      <c r="W463" s="316"/>
      <c r="X463" s="316"/>
      <c r="Y463" s="316"/>
      <c r="AQ463" s="3"/>
    </row>
    <row r="464" spans="3:43" x14ac:dyDescent="0.35">
      <c r="E464" s="27"/>
      <c r="F464" s="62" t="s">
        <v>250</v>
      </c>
      <c r="G464" s="62" t="s">
        <v>251</v>
      </c>
      <c r="J464" s="316"/>
      <c r="K464" s="316"/>
      <c r="L464" s="315">
        <f t="shared" si="112"/>
        <v>0</v>
      </c>
      <c r="M464" s="316"/>
      <c r="N464" s="315">
        <f t="shared" si="113"/>
        <v>45907.412518206227</v>
      </c>
      <c r="O464" s="315">
        <f t="shared" si="113"/>
        <v>25566.941020352024</v>
      </c>
      <c r="P464" s="315">
        <f t="shared" si="113"/>
        <v>9331.8843245050321</v>
      </c>
      <c r="Q464" s="316"/>
      <c r="R464" s="316"/>
      <c r="S464" s="316"/>
      <c r="T464" s="316"/>
      <c r="U464" s="316"/>
      <c r="V464" s="316"/>
      <c r="W464" s="316"/>
      <c r="X464" s="316"/>
      <c r="Y464" s="316"/>
      <c r="AQ464" s="3"/>
    </row>
    <row r="465" spans="3:43" x14ac:dyDescent="0.35">
      <c r="E465" s="27"/>
      <c r="F465" s="62" t="s">
        <v>252</v>
      </c>
      <c r="G465" s="62" t="s">
        <v>251</v>
      </c>
      <c r="J465" s="316"/>
      <c r="K465" s="316"/>
      <c r="L465" s="315">
        <f t="shared" si="112"/>
        <v>0</v>
      </c>
      <c r="M465" s="316"/>
      <c r="N465" s="315">
        <f t="shared" si="113"/>
        <v>79.442221659188931</v>
      </c>
      <c r="O465" s="315">
        <f t="shared" si="113"/>
        <v>0</v>
      </c>
      <c r="P465" s="315">
        <f t="shared" si="113"/>
        <v>213.4992919692435</v>
      </c>
      <c r="Q465" s="316"/>
      <c r="R465" s="316"/>
      <c r="S465" s="316"/>
      <c r="T465" s="316"/>
      <c r="U465" s="316"/>
      <c r="V465" s="316"/>
      <c r="W465" s="316"/>
      <c r="X465" s="316"/>
      <c r="Y465" s="316"/>
      <c r="AQ465" s="3"/>
    </row>
    <row r="466" spans="3:43" x14ac:dyDescent="0.35">
      <c r="E466" s="27"/>
      <c r="F466" s="70" t="s">
        <v>253</v>
      </c>
      <c r="G466" s="70" t="s">
        <v>254</v>
      </c>
      <c r="H466" s="28"/>
      <c r="I466" s="28"/>
      <c r="J466" s="71"/>
      <c r="K466" s="71"/>
      <c r="L466" s="90">
        <f t="shared" si="112"/>
        <v>0</v>
      </c>
      <c r="M466" s="71"/>
      <c r="N466" s="90">
        <f t="shared" si="113"/>
        <v>3662.7449843492495</v>
      </c>
      <c r="O466" s="90">
        <f t="shared" si="113"/>
        <v>748.16523518504346</v>
      </c>
      <c r="P466" s="90">
        <f t="shared" si="113"/>
        <v>181.66796583724511</v>
      </c>
      <c r="Q466" s="71"/>
      <c r="R466" s="71"/>
      <c r="S466" s="71"/>
      <c r="T466" s="71"/>
      <c r="U466" s="71"/>
      <c r="V466" s="71"/>
      <c r="W466" s="71"/>
      <c r="X466" s="71"/>
      <c r="Y466" s="71"/>
      <c r="AQ466" s="3"/>
    </row>
    <row r="467" spans="3:43" x14ac:dyDescent="0.35">
      <c r="AQ467" s="3"/>
    </row>
    <row r="468" spans="3:43" x14ac:dyDescent="0.35">
      <c r="E468" s="27" t="s">
        <v>971</v>
      </c>
      <c r="G468" s="12"/>
      <c r="I468" t="s">
        <v>154</v>
      </c>
      <c r="AQ468" s="3"/>
    </row>
    <row r="469" spans="3:43" x14ac:dyDescent="0.35">
      <c r="E469" s="27"/>
      <c r="F469" s="68" t="s">
        <v>247</v>
      </c>
      <c r="G469" s="68" t="s">
        <v>207</v>
      </c>
      <c r="H469" s="19"/>
      <c r="I469" s="19"/>
      <c r="J469" s="73"/>
      <c r="K469" s="73"/>
      <c r="L469" s="116">
        <f t="shared" ref="L469:L475" si="114">L94+L451+L460</f>
        <v>165874.4343911162</v>
      </c>
      <c r="M469" s="73"/>
      <c r="N469" s="116">
        <f t="shared" ref="N469:P475" si="115">N94+N451+N460</f>
        <v>245774.66825204468</v>
      </c>
      <c r="O469" s="116">
        <f t="shared" si="115"/>
        <v>25707.324196698813</v>
      </c>
      <c r="P469" s="116">
        <f t="shared" si="115"/>
        <v>200732.07472484378</v>
      </c>
      <c r="Q469" s="73"/>
      <c r="R469" s="73"/>
      <c r="S469" s="73"/>
      <c r="T469" s="73"/>
      <c r="U469" s="73"/>
      <c r="V469" s="73"/>
      <c r="W469" s="73"/>
      <c r="X469" s="73"/>
      <c r="Y469" s="73"/>
      <c r="AQ469" s="3"/>
    </row>
    <row r="470" spans="3:43" x14ac:dyDescent="0.35">
      <c r="E470" s="27"/>
      <c r="F470" s="62" t="s">
        <v>248</v>
      </c>
      <c r="G470" s="62" t="s">
        <v>207</v>
      </c>
      <c r="J470" s="316"/>
      <c r="K470" s="316"/>
      <c r="L470" s="315">
        <f t="shared" si="114"/>
        <v>1048611.9103612585</v>
      </c>
      <c r="M470" s="316"/>
      <c r="N470" s="315">
        <f t="shared" si="115"/>
        <v>1413631.2857292513</v>
      </c>
      <c r="O470" s="315">
        <f t="shared" si="115"/>
        <v>145782.59807031997</v>
      </c>
      <c r="P470" s="315">
        <f t="shared" si="115"/>
        <v>1128220.2837137391</v>
      </c>
      <c r="Q470" s="316"/>
      <c r="R470" s="316"/>
      <c r="S470" s="316"/>
      <c r="T470" s="316"/>
      <c r="U470" s="316"/>
      <c r="V470" s="316"/>
      <c r="W470" s="316"/>
      <c r="X470" s="316"/>
      <c r="Y470" s="316"/>
      <c r="AQ470" s="3"/>
    </row>
    <row r="471" spans="3:43" x14ac:dyDescent="0.35">
      <c r="E471" s="27"/>
      <c r="F471" s="62" t="s">
        <v>249</v>
      </c>
      <c r="G471" s="62" t="s">
        <v>207</v>
      </c>
      <c r="J471" s="316"/>
      <c r="K471" s="316"/>
      <c r="L471" s="315">
        <f t="shared" si="114"/>
        <v>499360.9647768882</v>
      </c>
      <c r="M471" s="316"/>
      <c r="N471" s="315">
        <f t="shared" si="115"/>
        <v>777679.28284509585</v>
      </c>
      <c r="O471" s="315">
        <f t="shared" si="115"/>
        <v>96534.046638136657</v>
      </c>
      <c r="P471" s="315">
        <f t="shared" si="115"/>
        <v>777661.09046121885</v>
      </c>
      <c r="Q471" s="316"/>
      <c r="R471" s="316"/>
      <c r="S471" s="316"/>
      <c r="T471" s="316"/>
      <c r="U471" s="316"/>
      <c r="V471" s="316"/>
      <c r="W471" s="316"/>
      <c r="X471" s="316"/>
      <c r="Y471" s="316"/>
      <c r="AQ471" s="3"/>
    </row>
    <row r="472" spans="3:43" x14ac:dyDescent="0.35">
      <c r="E472" s="27"/>
      <c r="F472" s="62" t="s">
        <v>212</v>
      </c>
      <c r="G472" s="62" t="s">
        <v>212</v>
      </c>
      <c r="J472" s="316"/>
      <c r="K472" s="316"/>
      <c r="L472" s="315">
        <f t="shared" si="114"/>
        <v>34298.531030187536</v>
      </c>
      <c r="M472" s="316"/>
      <c r="N472" s="315">
        <f t="shared" si="115"/>
        <v>3944.2612247361913</v>
      </c>
      <c r="O472" s="315">
        <f t="shared" si="115"/>
        <v>224.73721006017257</v>
      </c>
      <c r="P472" s="315">
        <f t="shared" si="115"/>
        <v>315.87508664769206</v>
      </c>
      <c r="Q472" s="316"/>
      <c r="R472" s="316"/>
      <c r="S472" s="316"/>
      <c r="T472" s="316"/>
      <c r="U472" s="316"/>
      <c r="V472" s="316"/>
      <c r="W472" s="316"/>
      <c r="X472" s="316"/>
      <c r="Y472" s="316"/>
      <c r="AQ472" s="3"/>
    </row>
    <row r="473" spans="3:43" x14ac:dyDescent="0.35">
      <c r="E473" s="27"/>
      <c r="F473" s="62" t="s">
        <v>250</v>
      </c>
      <c r="G473" s="62" t="s">
        <v>251</v>
      </c>
      <c r="J473" s="316"/>
      <c r="K473" s="316"/>
      <c r="L473" s="315">
        <f t="shared" si="114"/>
        <v>0</v>
      </c>
      <c r="M473" s="316"/>
      <c r="N473" s="315">
        <f t="shared" si="115"/>
        <v>1716631.5862012368</v>
      </c>
      <c r="O473" s="315">
        <f t="shared" si="115"/>
        <v>139522.59338116698</v>
      </c>
      <c r="P473" s="315">
        <f t="shared" si="115"/>
        <v>1040360.9402770289</v>
      </c>
      <c r="Q473" s="316"/>
      <c r="R473" s="316"/>
      <c r="S473" s="316"/>
      <c r="T473" s="316"/>
      <c r="U473" s="316"/>
      <c r="V473" s="316"/>
      <c r="W473" s="316"/>
      <c r="X473" s="316"/>
      <c r="Y473" s="316"/>
      <c r="AQ473" s="3"/>
    </row>
    <row r="474" spans="3:43" x14ac:dyDescent="0.35">
      <c r="E474" s="27"/>
      <c r="F474" s="62" t="s">
        <v>252</v>
      </c>
      <c r="G474" s="62" t="s">
        <v>251</v>
      </c>
      <c r="J474" s="316"/>
      <c r="K474" s="316"/>
      <c r="L474" s="315">
        <f t="shared" si="114"/>
        <v>0</v>
      </c>
      <c r="M474" s="316"/>
      <c r="N474" s="315">
        <f t="shared" si="115"/>
        <v>27301.537913197037</v>
      </c>
      <c r="O474" s="315">
        <f t="shared" si="115"/>
        <v>602.3507976600747</v>
      </c>
      <c r="P474" s="315">
        <f t="shared" si="115"/>
        <v>21457.306638408878</v>
      </c>
      <c r="Q474" s="316"/>
      <c r="R474" s="316"/>
      <c r="S474" s="316"/>
      <c r="T474" s="316"/>
      <c r="U474" s="316"/>
      <c r="V474" s="316"/>
      <c r="W474" s="316"/>
      <c r="X474" s="316"/>
      <c r="Y474" s="316"/>
      <c r="AQ474" s="3"/>
    </row>
    <row r="475" spans="3:43" x14ac:dyDescent="0.35">
      <c r="E475" s="27"/>
      <c r="F475" s="70" t="s">
        <v>253</v>
      </c>
      <c r="G475" s="70" t="s">
        <v>254</v>
      </c>
      <c r="H475" s="28"/>
      <c r="I475" s="28"/>
      <c r="J475" s="71"/>
      <c r="K475" s="71"/>
      <c r="L475" s="90">
        <f t="shared" si="114"/>
        <v>0</v>
      </c>
      <c r="M475" s="71"/>
      <c r="N475" s="90">
        <f t="shared" si="115"/>
        <v>185668.83195700258</v>
      </c>
      <c r="O475" s="90">
        <f t="shared" si="115"/>
        <v>20753.067337768178</v>
      </c>
      <c r="P475" s="90">
        <f t="shared" si="115"/>
        <v>145941.04841917119</v>
      </c>
      <c r="Q475" s="71"/>
      <c r="R475" s="71"/>
      <c r="S475" s="71"/>
      <c r="T475" s="71"/>
      <c r="U475" s="71"/>
      <c r="V475" s="71"/>
      <c r="W475" s="71"/>
      <c r="X475" s="71"/>
      <c r="Y475" s="71"/>
      <c r="AQ475" s="3"/>
    </row>
    <row r="476" spans="3:43" x14ac:dyDescent="0.35">
      <c r="AQ476" s="3"/>
    </row>
    <row r="477" spans="3:43" x14ac:dyDescent="0.35">
      <c r="C477" s="26" t="str">
        <f ca="1">INDEX('Version control'!$H$38:$H$61,MATCH($A$1,'Version control'!$F$38:$F$61,0),1)&amp;"-I: Discounted volumes by residual band"</f>
        <v>Section 104-I: Discounted volumes by residual band</v>
      </c>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Q477" s="3"/>
    </row>
    <row r="478" spans="3:43" x14ac:dyDescent="0.35">
      <c r="C478" s="27"/>
      <c r="AQ478" s="3"/>
    </row>
    <row r="479" spans="3:43" x14ac:dyDescent="0.35">
      <c r="D479" s="27" t="s">
        <v>1011</v>
      </c>
      <c r="AQ479" s="3"/>
    </row>
    <row r="480" spans="3:43" x14ac:dyDescent="0.35">
      <c r="E480" s="68" t="s">
        <v>247</v>
      </c>
      <c r="F480" s="19"/>
      <c r="G480" s="19"/>
      <c r="H480" s="19"/>
      <c r="I480" s="19"/>
      <c r="J480" s="19"/>
      <c r="K480" s="19"/>
      <c r="L480" s="19"/>
      <c r="M480" s="19"/>
      <c r="N480" s="19"/>
      <c r="O480" s="19"/>
      <c r="P480" s="19"/>
      <c r="Q480" s="19"/>
      <c r="R480" s="19"/>
      <c r="S480" s="19"/>
      <c r="T480" s="19"/>
      <c r="U480" s="19"/>
      <c r="V480" s="19"/>
      <c r="W480" s="19"/>
      <c r="X480" s="19"/>
      <c r="Y480" s="19"/>
      <c r="AQ480" s="3"/>
    </row>
    <row r="481" spans="5:43" x14ac:dyDescent="0.35">
      <c r="E481" s="336"/>
      <c r="F481" s="2" t="s">
        <v>978</v>
      </c>
      <c r="G481" t="s">
        <v>207</v>
      </c>
      <c r="J481" s="121">
        <f t="shared" ref="J481:Y481" si="116">J353</f>
        <v>0</v>
      </c>
      <c r="K481" s="121">
        <f t="shared" si="116"/>
        <v>385.85428212338678</v>
      </c>
      <c r="L481" s="121">
        <f t="shared" si="116"/>
        <v>276.53885768870242</v>
      </c>
      <c r="M481" s="121">
        <f t="shared" si="116"/>
        <v>622.21371742398651</v>
      </c>
      <c r="N481" s="121">
        <f t="shared" si="116"/>
        <v>78.59078647039631</v>
      </c>
      <c r="O481" s="121">
        <f t="shared" si="116"/>
        <v>0</v>
      </c>
      <c r="P481" s="121">
        <f t="shared" si="116"/>
        <v>376.43364027248634</v>
      </c>
      <c r="Q481" s="121">
        <f t="shared" si="116"/>
        <v>0</v>
      </c>
      <c r="R481" s="121">
        <f t="shared" si="116"/>
        <v>952.63299999999981</v>
      </c>
      <c r="S481" s="121">
        <f t="shared" si="116"/>
        <v>34.794999999999995</v>
      </c>
      <c r="T481" s="121">
        <f t="shared" si="116"/>
        <v>4651.0746980075764</v>
      </c>
      <c r="U481" s="121">
        <f t="shared" si="116"/>
        <v>0</v>
      </c>
      <c r="V481" s="121">
        <f t="shared" si="116"/>
        <v>0</v>
      </c>
      <c r="W481" s="121">
        <f t="shared" si="116"/>
        <v>0</v>
      </c>
      <c r="X481" s="121">
        <f t="shared" si="116"/>
        <v>83725.653155247186</v>
      </c>
      <c r="Y481" s="121">
        <f t="shared" si="116"/>
        <v>0</v>
      </c>
      <c r="AQ481" s="3"/>
    </row>
    <row r="482" spans="5:43" x14ac:dyDescent="0.35">
      <c r="E482" s="336"/>
      <c r="F482" s="2" t="s">
        <v>979</v>
      </c>
      <c r="G482" t="s">
        <v>207</v>
      </c>
      <c r="J482" s="346">
        <f t="shared" ref="J482:Y482" si="117">J382</f>
        <v>1195141.300122248</v>
      </c>
      <c r="K482" s="346">
        <f t="shared" si="117"/>
        <v>0</v>
      </c>
      <c r="L482" s="346">
        <f t="shared" si="117"/>
        <v>25777.997986388389</v>
      </c>
      <c r="M482" s="346">
        <f t="shared" si="117"/>
        <v>0</v>
      </c>
      <c r="N482" s="346">
        <f t="shared" si="117"/>
        <v>94006.82884342692</v>
      </c>
      <c r="O482" s="346">
        <f t="shared" si="117"/>
        <v>944.47966344540714</v>
      </c>
      <c r="P482" s="346">
        <f t="shared" si="117"/>
        <v>23544.121636543554</v>
      </c>
      <c r="Q482" s="346">
        <f t="shared" si="117"/>
        <v>9390.0610476398779</v>
      </c>
      <c r="R482" s="346">
        <f t="shared" si="117"/>
        <v>0</v>
      </c>
      <c r="S482" s="346">
        <f t="shared" si="117"/>
        <v>0</v>
      </c>
      <c r="T482" s="346">
        <f t="shared" si="117"/>
        <v>0</v>
      </c>
      <c r="U482" s="346">
        <f t="shared" si="117"/>
        <v>0</v>
      </c>
      <c r="V482" s="346">
        <f t="shared" si="117"/>
        <v>0</v>
      </c>
      <c r="W482" s="346">
        <f t="shared" si="117"/>
        <v>0</v>
      </c>
      <c r="X482" s="346">
        <f t="shared" si="117"/>
        <v>0</v>
      </c>
      <c r="Y482" s="346">
        <f t="shared" si="117"/>
        <v>0</v>
      </c>
      <c r="AQ482" s="3"/>
    </row>
    <row r="483" spans="5:43" x14ac:dyDescent="0.35">
      <c r="E483" s="336"/>
      <c r="F483" s="2" t="s">
        <v>980</v>
      </c>
      <c r="G483" t="s">
        <v>207</v>
      </c>
      <c r="J483" s="346">
        <f t="shared" ref="J483:Y483" si="118">J411</f>
        <v>0</v>
      </c>
      <c r="K483" s="346">
        <f t="shared" si="118"/>
        <v>0</v>
      </c>
      <c r="L483" s="346">
        <f t="shared" si="118"/>
        <v>53308.636840343592</v>
      </c>
      <c r="M483" s="346">
        <f t="shared" si="118"/>
        <v>0</v>
      </c>
      <c r="N483" s="346">
        <f t="shared" si="118"/>
        <v>92795.466410631896</v>
      </c>
      <c r="O483" s="346">
        <f t="shared" si="118"/>
        <v>1324.0125009879946</v>
      </c>
      <c r="P483" s="346">
        <f t="shared" si="118"/>
        <v>87951.984354582004</v>
      </c>
      <c r="Q483" s="346">
        <f t="shared" si="118"/>
        <v>0</v>
      </c>
      <c r="R483" s="346">
        <f t="shared" si="118"/>
        <v>0</v>
      </c>
      <c r="S483" s="346">
        <f t="shared" si="118"/>
        <v>0</v>
      </c>
      <c r="T483" s="346">
        <f t="shared" si="118"/>
        <v>0</v>
      </c>
      <c r="U483" s="346">
        <f t="shared" si="118"/>
        <v>0</v>
      </c>
      <c r="V483" s="346">
        <f t="shared" si="118"/>
        <v>0</v>
      </c>
      <c r="W483" s="346">
        <f t="shared" si="118"/>
        <v>0</v>
      </c>
      <c r="X483" s="346">
        <f t="shared" si="118"/>
        <v>0</v>
      </c>
      <c r="Y483" s="346">
        <f t="shared" si="118"/>
        <v>0</v>
      </c>
      <c r="AQ483" s="3"/>
    </row>
    <row r="484" spans="5:43" x14ac:dyDescent="0.35">
      <c r="E484" s="336"/>
      <c r="F484" s="2" t="s">
        <v>982</v>
      </c>
      <c r="G484" t="s">
        <v>207</v>
      </c>
      <c r="J484" s="91">
        <f t="shared" ref="J484:Y484" si="119">J440</f>
        <v>0</v>
      </c>
      <c r="K484" s="91">
        <f t="shared" si="119"/>
        <v>0</v>
      </c>
      <c r="L484" s="91">
        <f t="shared" si="119"/>
        <v>61372.471389463608</v>
      </c>
      <c r="M484" s="91">
        <f t="shared" si="119"/>
        <v>0</v>
      </c>
      <c r="N484" s="91">
        <f t="shared" si="119"/>
        <v>74972.336620176618</v>
      </c>
      <c r="O484" s="91">
        <f t="shared" si="119"/>
        <v>2048.4578320932455</v>
      </c>
      <c r="P484" s="91">
        <f t="shared" si="119"/>
        <v>69094.334419594219</v>
      </c>
      <c r="Q484" s="91">
        <f t="shared" si="119"/>
        <v>0</v>
      </c>
      <c r="R484" s="91">
        <f t="shared" si="119"/>
        <v>0</v>
      </c>
      <c r="S484" s="91">
        <f t="shared" si="119"/>
        <v>0</v>
      </c>
      <c r="T484" s="91">
        <f t="shared" si="119"/>
        <v>0</v>
      </c>
      <c r="U484" s="91">
        <f t="shared" si="119"/>
        <v>0</v>
      </c>
      <c r="V484" s="91">
        <f t="shared" si="119"/>
        <v>0</v>
      </c>
      <c r="W484" s="91">
        <f t="shared" si="119"/>
        <v>0</v>
      </c>
      <c r="X484" s="91">
        <f t="shared" si="119"/>
        <v>0</v>
      </c>
      <c r="Y484" s="91">
        <f t="shared" si="119"/>
        <v>0</v>
      </c>
      <c r="AQ484" s="3"/>
    </row>
    <row r="485" spans="5:43" x14ac:dyDescent="0.35">
      <c r="E485" s="336"/>
      <c r="F485" s="2" t="s">
        <v>981</v>
      </c>
      <c r="G485" t="s">
        <v>207</v>
      </c>
      <c r="J485" s="91">
        <f t="shared" ref="J485:Y485" si="120">J469</f>
        <v>0</v>
      </c>
      <c r="K485" s="91">
        <f t="shared" si="120"/>
        <v>0</v>
      </c>
      <c r="L485" s="91">
        <f t="shared" si="120"/>
        <v>165874.4343911162</v>
      </c>
      <c r="M485" s="91">
        <f t="shared" si="120"/>
        <v>0</v>
      </c>
      <c r="N485" s="91">
        <f t="shared" si="120"/>
        <v>245774.66825204468</v>
      </c>
      <c r="O485" s="91">
        <f t="shared" si="120"/>
        <v>25707.324196698813</v>
      </c>
      <c r="P485" s="91">
        <f t="shared" si="120"/>
        <v>200732.07472484378</v>
      </c>
      <c r="Q485" s="91">
        <f t="shared" si="120"/>
        <v>0</v>
      </c>
      <c r="R485" s="91">
        <f t="shared" si="120"/>
        <v>0</v>
      </c>
      <c r="S485" s="91">
        <f t="shared" si="120"/>
        <v>0</v>
      </c>
      <c r="T485" s="91">
        <f t="shared" si="120"/>
        <v>0</v>
      </c>
      <c r="U485" s="91">
        <f t="shared" si="120"/>
        <v>0</v>
      </c>
      <c r="V485" s="91">
        <f t="shared" si="120"/>
        <v>0</v>
      </c>
      <c r="W485" s="91">
        <f t="shared" si="120"/>
        <v>0</v>
      </c>
      <c r="X485" s="91">
        <f t="shared" si="120"/>
        <v>0</v>
      </c>
      <c r="Y485" s="91">
        <f t="shared" si="120"/>
        <v>0</v>
      </c>
      <c r="AQ485" s="3"/>
    </row>
    <row r="486" spans="5:43" x14ac:dyDescent="0.35">
      <c r="E486" s="62" t="s">
        <v>248</v>
      </c>
      <c r="F486" s="2"/>
      <c r="J486" s="22"/>
      <c r="K486" s="22"/>
      <c r="L486" s="22"/>
      <c r="M486" s="22"/>
      <c r="N486" s="22"/>
      <c r="O486" s="22"/>
      <c r="P486" s="22"/>
      <c r="Q486" s="22"/>
      <c r="R486" s="22"/>
      <c r="S486" s="22"/>
      <c r="T486" s="22"/>
      <c r="U486" s="22"/>
      <c r="V486" s="22"/>
      <c r="W486" s="22"/>
      <c r="X486" s="22"/>
      <c r="Y486" s="22"/>
      <c r="AQ486" s="3"/>
    </row>
    <row r="487" spans="5:43" x14ac:dyDescent="0.35">
      <c r="E487" s="336"/>
      <c r="F487" s="2" t="s">
        <v>978</v>
      </c>
      <c r="G487" t="s">
        <v>207</v>
      </c>
      <c r="J487" s="121">
        <f t="shared" ref="J487:Y487" si="121">J354</f>
        <v>0</v>
      </c>
      <c r="K487" s="121">
        <f t="shared" si="121"/>
        <v>37493.164568451517</v>
      </c>
      <c r="L487" s="121">
        <f t="shared" si="121"/>
        <v>1744.0147415635197</v>
      </c>
      <c r="M487" s="121">
        <f t="shared" si="121"/>
        <v>7925.7233535387522</v>
      </c>
      <c r="N487" s="121">
        <f t="shared" si="121"/>
        <v>452.42738864355545</v>
      </c>
      <c r="O487" s="121">
        <f t="shared" si="121"/>
        <v>0</v>
      </c>
      <c r="P487" s="121">
        <f t="shared" si="121"/>
        <v>2115.4787940551191</v>
      </c>
      <c r="Q487" s="121">
        <f t="shared" si="121"/>
        <v>0</v>
      </c>
      <c r="R487" s="121">
        <f t="shared" si="121"/>
        <v>8088.5750000000007</v>
      </c>
      <c r="S487" s="121">
        <f t="shared" si="121"/>
        <v>170.797</v>
      </c>
      <c r="T487" s="121">
        <f t="shared" si="121"/>
        <v>36562.572785299533</v>
      </c>
      <c r="U487" s="121">
        <f t="shared" si="121"/>
        <v>0</v>
      </c>
      <c r="V487" s="121">
        <f t="shared" si="121"/>
        <v>0</v>
      </c>
      <c r="W487" s="121">
        <f t="shared" si="121"/>
        <v>0</v>
      </c>
      <c r="X487" s="121">
        <f t="shared" si="121"/>
        <v>532059.97125989269</v>
      </c>
      <c r="Y487" s="121">
        <f t="shared" si="121"/>
        <v>0</v>
      </c>
      <c r="AQ487" s="3"/>
    </row>
    <row r="488" spans="5:43" x14ac:dyDescent="0.35">
      <c r="E488" s="336"/>
      <c r="F488" s="2" t="s">
        <v>979</v>
      </c>
      <c r="G488" t="s">
        <v>207</v>
      </c>
      <c r="J488" s="346">
        <f t="shared" ref="J488:Y488" si="122">J383</f>
        <v>5245246.7360017952</v>
      </c>
      <c r="K488" s="346">
        <f t="shared" si="122"/>
        <v>0</v>
      </c>
      <c r="L488" s="346">
        <f t="shared" si="122"/>
        <v>162952.0078481962</v>
      </c>
      <c r="M488" s="346">
        <f t="shared" si="122"/>
        <v>0</v>
      </c>
      <c r="N488" s="346">
        <f t="shared" si="122"/>
        <v>540868.378209166</v>
      </c>
      <c r="O488" s="346">
        <f t="shared" si="122"/>
        <v>5324.6072504751555</v>
      </c>
      <c r="P488" s="346">
        <f t="shared" si="122"/>
        <v>132372.27906108287</v>
      </c>
      <c r="Q488" s="346">
        <f t="shared" si="122"/>
        <v>68698.296662678986</v>
      </c>
      <c r="R488" s="346">
        <f t="shared" si="122"/>
        <v>0</v>
      </c>
      <c r="S488" s="346">
        <f t="shared" si="122"/>
        <v>0</v>
      </c>
      <c r="T488" s="346">
        <f t="shared" si="122"/>
        <v>0</v>
      </c>
      <c r="U488" s="346">
        <f t="shared" si="122"/>
        <v>0</v>
      </c>
      <c r="V488" s="346">
        <f t="shared" si="122"/>
        <v>0</v>
      </c>
      <c r="W488" s="346">
        <f t="shared" si="122"/>
        <v>0</v>
      </c>
      <c r="X488" s="346">
        <f t="shared" si="122"/>
        <v>0</v>
      </c>
      <c r="Y488" s="346">
        <f t="shared" si="122"/>
        <v>0</v>
      </c>
      <c r="AQ488" s="3"/>
    </row>
    <row r="489" spans="5:43" x14ac:dyDescent="0.35">
      <c r="E489" s="336"/>
      <c r="F489" s="2" t="s">
        <v>980</v>
      </c>
      <c r="G489" t="s">
        <v>207</v>
      </c>
      <c r="J489" s="346">
        <f t="shared" ref="J489:Y489" si="123">J412</f>
        <v>0</v>
      </c>
      <c r="K489" s="346">
        <f t="shared" si="123"/>
        <v>0</v>
      </c>
      <c r="L489" s="346">
        <f t="shared" si="123"/>
        <v>336995.9509752866</v>
      </c>
      <c r="M489" s="346">
        <f t="shared" si="123"/>
        <v>0</v>
      </c>
      <c r="N489" s="346">
        <f t="shared" si="123"/>
        <v>533828.61510084395</v>
      </c>
      <c r="O489" s="346">
        <f t="shared" si="123"/>
        <v>7509.1258906979429</v>
      </c>
      <c r="P489" s="346">
        <f t="shared" si="123"/>
        <v>494384.00934918207</v>
      </c>
      <c r="Q489" s="346">
        <f t="shared" si="123"/>
        <v>0</v>
      </c>
      <c r="R489" s="346">
        <f t="shared" si="123"/>
        <v>0</v>
      </c>
      <c r="S489" s="346">
        <f t="shared" si="123"/>
        <v>0</v>
      </c>
      <c r="T489" s="346">
        <f t="shared" si="123"/>
        <v>0</v>
      </c>
      <c r="U489" s="346">
        <f t="shared" si="123"/>
        <v>0</v>
      </c>
      <c r="V489" s="346">
        <f t="shared" si="123"/>
        <v>0</v>
      </c>
      <c r="W489" s="346">
        <f t="shared" si="123"/>
        <v>0</v>
      </c>
      <c r="X489" s="346">
        <f t="shared" si="123"/>
        <v>0</v>
      </c>
      <c r="Y489" s="346">
        <f t="shared" si="123"/>
        <v>0</v>
      </c>
      <c r="AQ489" s="3"/>
    </row>
    <row r="490" spans="5:43" x14ac:dyDescent="0.35">
      <c r="E490" s="336"/>
      <c r="F490" s="2" t="s">
        <v>982</v>
      </c>
      <c r="G490" t="s">
        <v>207</v>
      </c>
      <c r="J490" s="91">
        <f t="shared" ref="J490:Y490" si="124">J441</f>
        <v>0</v>
      </c>
      <c r="K490" s="91">
        <f t="shared" si="124"/>
        <v>0</v>
      </c>
      <c r="L490" s="91">
        <f t="shared" si="124"/>
        <v>387972.67768051894</v>
      </c>
      <c r="M490" s="91">
        <f t="shared" si="124"/>
        <v>0</v>
      </c>
      <c r="N490" s="91">
        <f t="shared" si="124"/>
        <v>431352.65099897637</v>
      </c>
      <c r="O490" s="91">
        <f t="shared" si="124"/>
        <v>11617.014117019871</v>
      </c>
      <c r="P490" s="91">
        <f t="shared" si="124"/>
        <v>388312.03802864812</v>
      </c>
      <c r="Q490" s="91">
        <f t="shared" si="124"/>
        <v>0</v>
      </c>
      <c r="R490" s="91">
        <f t="shared" si="124"/>
        <v>0</v>
      </c>
      <c r="S490" s="91">
        <f t="shared" si="124"/>
        <v>0</v>
      </c>
      <c r="T490" s="91">
        <f t="shared" si="124"/>
        <v>0</v>
      </c>
      <c r="U490" s="91">
        <f t="shared" si="124"/>
        <v>0</v>
      </c>
      <c r="V490" s="91">
        <f t="shared" si="124"/>
        <v>0</v>
      </c>
      <c r="W490" s="91">
        <f t="shared" si="124"/>
        <v>0</v>
      </c>
      <c r="X490" s="91">
        <f t="shared" si="124"/>
        <v>0</v>
      </c>
      <c r="Y490" s="91">
        <f t="shared" si="124"/>
        <v>0</v>
      </c>
      <c r="AQ490" s="3"/>
    </row>
    <row r="491" spans="5:43" x14ac:dyDescent="0.35">
      <c r="E491" s="336"/>
      <c r="F491" s="2" t="s">
        <v>981</v>
      </c>
      <c r="G491" t="s">
        <v>207</v>
      </c>
      <c r="J491" s="91">
        <f t="shared" ref="J491:Y491" si="125">J470</f>
        <v>0</v>
      </c>
      <c r="K491" s="91">
        <f t="shared" si="125"/>
        <v>0</v>
      </c>
      <c r="L491" s="91">
        <f t="shared" si="125"/>
        <v>1048611.9103612585</v>
      </c>
      <c r="M491" s="91">
        <f t="shared" si="125"/>
        <v>0</v>
      </c>
      <c r="N491" s="91">
        <f t="shared" si="125"/>
        <v>1413631.2857292513</v>
      </c>
      <c r="O491" s="91">
        <f t="shared" si="125"/>
        <v>145782.59807031997</v>
      </c>
      <c r="P491" s="91">
        <f t="shared" si="125"/>
        <v>1128220.2837137391</v>
      </c>
      <c r="Q491" s="91">
        <f t="shared" si="125"/>
        <v>0</v>
      </c>
      <c r="R491" s="91">
        <f t="shared" si="125"/>
        <v>0</v>
      </c>
      <c r="S491" s="91">
        <f t="shared" si="125"/>
        <v>0</v>
      </c>
      <c r="T491" s="91">
        <f t="shared" si="125"/>
        <v>0</v>
      </c>
      <c r="U491" s="91">
        <f t="shared" si="125"/>
        <v>0</v>
      </c>
      <c r="V491" s="91">
        <f t="shared" si="125"/>
        <v>0</v>
      </c>
      <c r="W491" s="91">
        <f t="shared" si="125"/>
        <v>0</v>
      </c>
      <c r="X491" s="91">
        <f t="shared" si="125"/>
        <v>0</v>
      </c>
      <c r="Y491" s="91">
        <f t="shared" si="125"/>
        <v>0</v>
      </c>
      <c r="AQ491" s="3"/>
    </row>
    <row r="492" spans="5:43" x14ac:dyDescent="0.35">
      <c r="E492" s="62" t="s">
        <v>249</v>
      </c>
      <c r="F492" s="2"/>
      <c r="J492" s="22"/>
      <c r="K492" s="22"/>
      <c r="L492" s="22"/>
      <c r="M492" s="22"/>
      <c r="N492" s="22"/>
      <c r="O492" s="22"/>
      <c r="P492" s="22"/>
      <c r="Q492" s="22"/>
      <c r="R492" s="22"/>
      <c r="S492" s="22"/>
      <c r="T492" s="22"/>
      <c r="U492" s="22"/>
      <c r="V492" s="22"/>
      <c r="W492" s="22"/>
      <c r="X492" s="22"/>
      <c r="Y492" s="22"/>
      <c r="AQ492" s="3"/>
    </row>
    <row r="493" spans="5:43" x14ac:dyDescent="0.35">
      <c r="E493" s="336"/>
      <c r="F493" s="2" t="s">
        <v>978</v>
      </c>
      <c r="G493" t="s">
        <v>207</v>
      </c>
      <c r="J493" s="121">
        <f t="shared" ref="J493:Y493" si="126">J355</f>
        <v>0</v>
      </c>
      <c r="K493" s="121">
        <f t="shared" si="126"/>
        <v>91372.316099402669</v>
      </c>
      <c r="L493" s="121">
        <f t="shared" si="126"/>
        <v>782.67929879096073</v>
      </c>
      <c r="M493" s="121">
        <f t="shared" si="126"/>
        <v>25560.92942792672</v>
      </c>
      <c r="N493" s="121">
        <f t="shared" si="126"/>
        <v>248.8001625162569</v>
      </c>
      <c r="O493" s="121">
        <f t="shared" si="126"/>
        <v>0</v>
      </c>
      <c r="P493" s="121">
        <f t="shared" si="126"/>
        <v>1458.3912124412109</v>
      </c>
      <c r="Q493" s="121">
        <f t="shared" si="126"/>
        <v>0</v>
      </c>
      <c r="R493" s="121">
        <f t="shared" si="126"/>
        <v>812.69199999999978</v>
      </c>
      <c r="S493" s="121">
        <f t="shared" si="126"/>
        <v>24.104999999999997</v>
      </c>
      <c r="T493" s="121">
        <f t="shared" si="126"/>
        <v>11217.299058567434</v>
      </c>
      <c r="U493" s="121">
        <f t="shared" si="126"/>
        <v>0</v>
      </c>
      <c r="V493" s="121">
        <f t="shared" si="126"/>
        <v>0</v>
      </c>
      <c r="W493" s="121">
        <f t="shared" si="126"/>
        <v>0</v>
      </c>
      <c r="X493" s="121">
        <f t="shared" si="126"/>
        <v>252499.59274264879</v>
      </c>
      <c r="Y493" s="121">
        <f t="shared" si="126"/>
        <v>0</v>
      </c>
      <c r="AQ493" s="3"/>
    </row>
    <row r="494" spans="5:43" x14ac:dyDescent="0.35">
      <c r="E494" s="336"/>
      <c r="F494" s="2" t="s">
        <v>979</v>
      </c>
      <c r="G494" t="s">
        <v>207</v>
      </c>
      <c r="J494" s="346">
        <f t="shared" ref="J494:Y494" si="127">J384</f>
        <v>2888603.6716125715</v>
      </c>
      <c r="K494" s="346">
        <f t="shared" si="127"/>
        <v>0</v>
      </c>
      <c r="L494" s="346">
        <f t="shared" si="127"/>
        <v>77561.152830440682</v>
      </c>
      <c r="M494" s="346">
        <f t="shared" si="127"/>
        <v>0</v>
      </c>
      <c r="N494" s="346">
        <f t="shared" si="127"/>
        <v>297513.65854857687</v>
      </c>
      <c r="O494" s="346">
        <f t="shared" si="127"/>
        <v>2838.7476627806673</v>
      </c>
      <c r="P494" s="346">
        <f t="shared" si="127"/>
        <v>91206.765500012407</v>
      </c>
      <c r="Q494" s="346">
        <f t="shared" si="127"/>
        <v>107386.00037173675</v>
      </c>
      <c r="R494" s="346">
        <f t="shared" si="127"/>
        <v>0</v>
      </c>
      <c r="S494" s="346">
        <f t="shared" si="127"/>
        <v>0</v>
      </c>
      <c r="T494" s="346">
        <f t="shared" si="127"/>
        <v>0</v>
      </c>
      <c r="U494" s="346">
        <f t="shared" si="127"/>
        <v>0</v>
      </c>
      <c r="V494" s="346">
        <f t="shared" si="127"/>
        <v>0</v>
      </c>
      <c r="W494" s="346">
        <f t="shared" si="127"/>
        <v>0</v>
      </c>
      <c r="X494" s="346">
        <f t="shared" si="127"/>
        <v>0</v>
      </c>
      <c r="Y494" s="346">
        <f t="shared" si="127"/>
        <v>0</v>
      </c>
      <c r="AQ494" s="3"/>
    </row>
    <row r="495" spans="5:43" x14ac:dyDescent="0.35">
      <c r="E495" s="336"/>
      <c r="F495" s="2" t="s">
        <v>980</v>
      </c>
      <c r="G495" t="s">
        <v>207</v>
      </c>
      <c r="J495" s="346">
        <f t="shared" ref="J495:Y495" si="128">J413</f>
        <v>0</v>
      </c>
      <c r="K495" s="346">
        <f t="shared" si="128"/>
        <v>0</v>
      </c>
      <c r="L495" s="346">
        <f t="shared" si="128"/>
        <v>160418.41667158221</v>
      </c>
      <c r="M495" s="346">
        <f t="shared" si="128"/>
        <v>0</v>
      </c>
      <c r="N495" s="346">
        <f t="shared" si="128"/>
        <v>293680.01528195338</v>
      </c>
      <c r="O495" s="346">
        <f t="shared" si="128"/>
        <v>4990.7213542975524</v>
      </c>
      <c r="P495" s="346">
        <f t="shared" si="128"/>
        <v>340730.05377060751</v>
      </c>
      <c r="Q495" s="346">
        <f t="shared" si="128"/>
        <v>0</v>
      </c>
      <c r="R495" s="346">
        <f t="shared" si="128"/>
        <v>0</v>
      </c>
      <c r="S495" s="346">
        <f t="shared" si="128"/>
        <v>0</v>
      </c>
      <c r="T495" s="346">
        <f t="shared" si="128"/>
        <v>0</v>
      </c>
      <c r="U495" s="346">
        <f t="shared" si="128"/>
        <v>0</v>
      </c>
      <c r="V495" s="346">
        <f t="shared" si="128"/>
        <v>0</v>
      </c>
      <c r="W495" s="346">
        <f t="shared" si="128"/>
        <v>0</v>
      </c>
      <c r="X495" s="346">
        <f t="shared" si="128"/>
        <v>0</v>
      </c>
      <c r="Y495" s="346">
        <f t="shared" si="128"/>
        <v>0</v>
      </c>
      <c r="AQ495" s="3"/>
    </row>
    <row r="496" spans="5:43" x14ac:dyDescent="0.35">
      <c r="E496" s="336"/>
      <c r="F496" s="2" t="s">
        <v>982</v>
      </c>
      <c r="G496" t="s">
        <v>207</v>
      </c>
      <c r="J496" s="91">
        <f t="shared" ref="J496:Y496" si="129">J442</f>
        <v>0</v>
      </c>
      <c r="K496" s="91">
        <f t="shared" si="129"/>
        <v>0</v>
      </c>
      <c r="L496" s="91">
        <f t="shared" si="129"/>
        <v>184707.106305794</v>
      </c>
      <c r="M496" s="91">
        <f t="shared" si="129"/>
        <v>0</v>
      </c>
      <c r="N496" s="91">
        <f t="shared" si="129"/>
        <v>237326.06213858156</v>
      </c>
      <c r="O496" s="91">
        <f t="shared" si="129"/>
        <v>7703.4635376858459</v>
      </c>
      <c r="P496" s="91">
        <f t="shared" si="129"/>
        <v>267685.10842114908</v>
      </c>
      <c r="Q496" s="91">
        <f t="shared" si="129"/>
        <v>0</v>
      </c>
      <c r="R496" s="91">
        <f t="shared" si="129"/>
        <v>0</v>
      </c>
      <c r="S496" s="91">
        <f t="shared" si="129"/>
        <v>0</v>
      </c>
      <c r="T496" s="91">
        <f t="shared" si="129"/>
        <v>0</v>
      </c>
      <c r="U496" s="91">
        <f t="shared" si="129"/>
        <v>0</v>
      </c>
      <c r="V496" s="91">
        <f t="shared" si="129"/>
        <v>0</v>
      </c>
      <c r="W496" s="91">
        <f t="shared" si="129"/>
        <v>0</v>
      </c>
      <c r="X496" s="91">
        <f t="shared" si="129"/>
        <v>0</v>
      </c>
      <c r="Y496" s="91">
        <f t="shared" si="129"/>
        <v>0</v>
      </c>
      <c r="AQ496" s="3"/>
    </row>
    <row r="497" spans="5:43" x14ac:dyDescent="0.35">
      <c r="E497" s="336"/>
      <c r="F497" s="2" t="s">
        <v>981</v>
      </c>
      <c r="G497" t="s">
        <v>207</v>
      </c>
      <c r="J497" s="91">
        <f t="shared" ref="J497:Y497" si="130">J471</f>
        <v>0</v>
      </c>
      <c r="K497" s="91">
        <f t="shared" si="130"/>
        <v>0</v>
      </c>
      <c r="L497" s="91">
        <f t="shared" si="130"/>
        <v>499360.9647768882</v>
      </c>
      <c r="M497" s="91">
        <f t="shared" si="130"/>
        <v>0</v>
      </c>
      <c r="N497" s="91">
        <f t="shared" si="130"/>
        <v>777679.28284509585</v>
      </c>
      <c r="O497" s="91">
        <f t="shared" si="130"/>
        <v>96534.046638136657</v>
      </c>
      <c r="P497" s="91">
        <f t="shared" si="130"/>
        <v>777661.09046121885</v>
      </c>
      <c r="Q497" s="91">
        <f t="shared" si="130"/>
        <v>0</v>
      </c>
      <c r="R497" s="91">
        <f t="shared" si="130"/>
        <v>0</v>
      </c>
      <c r="S497" s="91">
        <f t="shared" si="130"/>
        <v>0</v>
      </c>
      <c r="T497" s="91">
        <f t="shared" si="130"/>
        <v>0</v>
      </c>
      <c r="U497" s="91">
        <f t="shared" si="130"/>
        <v>0</v>
      </c>
      <c r="V497" s="91">
        <f t="shared" si="130"/>
        <v>0</v>
      </c>
      <c r="W497" s="91">
        <f t="shared" si="130"/>
        <v>0</v>
      </c>
      <c r="X497" s="91">
        <f t="shared" si="130"/>
        <v>0</v>
      </c>
      <c r="Y497" s="91">
        <f t="shared" si="130"/>
        <v>0</v>
      </c>
      <c r="AQ497" s="3"/>
    </row>
    <row r="498" spans="5:43" x14ac:dyDescent="0.35">
      <c r="E498" s="62" t="s">
        <v>212</v>
      </c>
      <c r="F498" s="2"/>
      <c r="J498" s="22"/>
      <c r="K498" s="22"/>
      <c r="L498" s="22"/>
      <c r="M498" s="22"/>
      <c r="N498" s="22"/>
      <c r="O498" s="22"/>
      <c r="P498" s="22"/>
      <c r="Q498" s="22"/>
      <c r="R498" s="22"/>
      <c r="S498" s="22"/>
      <c r="T498" s="22"/>
      <c r="U498" s="22"/>
      <c r="V498" s="22"/>
      <c r="W498" s="22"/>
      <c r="X498" s="22"/>
      <c r="Y498" s="22"/>
      <c r="AQ498" s="3"/>
    </row>
    <row r="499" spans="5:43" x14ac:dyDescent="0.35">
      <c r="E499" s="336"/>
      <c r="F499" s="2" t="s">
        <v>978</v>
      </c>
      <c r="G499" t="s">
        <v>212</v>
      </c>
      <c r="J499" s="121">
        <f t="shared" ref="J499:Y499" si="131">J356</f>
        <v>0</v>
      </c>
      <c r="K499" s="121">
        <f t="shared" si="131"/>
        <v>30472.026964790908</v>
      </c>
      <c r="L499" s="121">
        <f t="shared" si="131"/>
        <v>9.6884478937311105</v>
      </c>
      <c r="M499" s="121">
        <f t="shared" si="131"/>
        <v>4516.8450273566268</v>
      </c>
      <c r="N499" s="121">
        <f t="shared" si="131"/>
        <v>12.122280437371904</v>
      </c>
      <c r="O499" s="121">
        <f t="shared" si="131"/>
        <v>0</v>
      </c>
      <c r="P499" s="121">
        <f t="shared" si="131"/>
        <v>79.23866687372356</v>
      </c>
      <c r="Q499" s="121">
        <f t="shared" si="131"/>
        <v>0</v>
      </c>
      <c r="R499" s="121">
        <f t="shared" si="131"/>
        <v>8349.9354838709678</v>
      </c>
      <c r="S499" s="121">
        <f t="shared" si="131"/>
        <v>39</v>
      </c>
      <c r="T499" s="121">
        <f t="shared" si="131"/>
        <v>838.90322580645136</v>
      </c>
      <c r="U499" s="121">
        <f t="shared" si="131"/>
        <v>0</v>
      </c>
      <c r="V499" s="121">
        <f t="shared" si="131"/>
        <v>1</v>
      </c>
      <c r="W499" s="121">
        <f t="shared" si="131"/>
        <v>0</v>
      </c>
      <c r="X499" s="121">
        <f t="shared" si="131"/>
        <v>234.29032258064521</v>
      </c>
      <c r="Y499" s="121">
        <f t="shared" si="131"/>
        <v>0</v>
      </c>
      <c r="AQ499" s="3"/>
    </row>
    <row r="500" spans="5:43" x14ac:dyDescent="0.35">
      <c r="E500" s="336"/>
      <c r="F500" s="2" t="s">
        <v>979</v>
      </c>
      <c r="G500" t="s">
        <v>212</v>
      </c>
      <c r="J500" s="346">
        <f t="shared" ref="J500:Y500" si="132">J385</f>
        <v>2963525.8662584159</v>
      </c>
      <c r="K500" s="346">
        <f t="shared" si="132"/>
        <v>0</v>
      </c>
      <c r="L500" s="346">
        <f t="shared" si="132"/>
        <v>90865.523119522884</v>
      </c>
      <c r="M500" s="346">
        <f t="shared" si="132"/>
        <v>0</v>
      </c>
      <c r="N500" s="346">
        <f t="shared" si="132"/>
        <v>10394.009490196551</v>
      </c>
      <c r="O500" s="346">
        <f t="shared" si="132"/>
        <v>23.34697201955592</v>
      </c>
      <c r="P500" s="346">
        <f t="shared" si="132"/>
        <v>483.92215384591685</v>
      </c>
      <c r="Q500" s="346">
        <f t="shared" si="132"/>
        <v>4144.2452439404015</v>
      </c>
      <c r="R500" s="346">
        <f t="shared" si="132"/>
        <v>0</v>
      </c>
      <c r="S500" s="346">
        <f t="shared" si="132"/>
        <v>0</v>
      </c>
      <c r="T500" s="346">
        <f t="shared" si="132"/>
        <v>0</v>
      </c>
      <c r="U500" s="346">
        <f t="shared" si="132"/>
        <v>0</v>
      </c>
      <c r="V500" s="346">
        <f t="shared" si="132"/>
        <v>0</v>
      </c>
      <c r="W500" s="346">
        <f t="shared" si="132"/>
        <v>0</v>
      </c>
      <c r="X500" s="346">
        <f t="shared" si="132"/>
        <v>0</v>
      </c>
      <c r="Y500" s="346">
        <f t="shared" si="132"/>
        <v>0</v>
      </c>
      <c r="AQ500" s="3"/>
    </row>
    <row r="501" spans="5:43" x14ac:dyDescent="0.35">
      <c r="E501" s="336"/>
      <c r="F501" s="2" t="s">
        <v>980</v>
      </c>
      <c r="G501" t="s">
        <v>212</v>
      </c>
      <c r="J501" s="346">
        <f t="shared" ref="J501:Y501" si="133">J414</f>
        <v>0</v>
      </c>
      <c r="K501" s="346">
        <f t="shared" si="133"/>
        <v>0</v>
      </c>
      <c r="L501" s="346">
        <f t="shared" si="133"/>
        <v>68645.571071950631</v>
      </c>
      <c r="M501" s="346">
        <f t="shared" si="133"/>
        <v>0</v>
      </c>
      <c r="N501" s="346">
        <f t="shared" si="133"/>
        <v>6115.2119452849101</v>
      </c>
      <c r="O501" s="346">
        <f t="shared" si="133"/>
        <v>45.082169622189987</v>
      </c>
      <c r="P501" s="346">
        <f t="shared" si="133"/>
        <v>697.58818327134566</v>
      </c>
      <c r="Q501" s="346">
        <f t="shared" si="133"/>
        <v>0</v>
      </c>
      <c r="R501" s="346">
        <f t="shared" si="133"/>
        <v>0</v>
      </c>
      <c r="S501" s="346">
        <f t="shared" si="133"/>
        <v>0</v>
      </c>
      <c r="T501" s="346">
        <f t="shared" si="133"/>
        <v>0</v>
      </c>
      <c r="U501" s="346">
        <f t="shared" si="133"/>
        <v>0</v>
      </c>
      <c r="V501" s="346">
        <f t="shared" si="133"/>
        <v>0</v>
      </c>
      <c r="W501" s="346">
        <f t="shared" si="133"/>
        <v>0</v>
      </c>
      <c r="X501" s="346">
        <f t="shared" si="133"/>
        <v>0</v>
      </c>
      <c r="Y501" s="346">
        <f t="shared" si="133"/>
        <v>0</v>
      </c>
      <c r="AQ501" s="3"/>
    </row>
    <row r="502" spans="5:43" x14ac:dyDescent="0.35">
      <c r="E502" s="336"/>
      <c r="F502" s="2" t="s">
        <v>982</v>
      </c>
      <c r="G502" t="s">
        <v>212</v>
      </c>
      <c r="J502" s="91">
        <f t="shared" ref="J502:Y502" si="134">J443</f>
        <v>0</v>
      </c>
      <c r="K502" s="91">
        <f t="shared" si="134"/>
        <v>0</v>
      </c>
      <c r="L502" s="91">
        <f t="shared" si="134"/>
        <v>35687.206127422673</v>
      </c>
      <c r="M502" s="91">
        <f t="shared" si="134"/>
        <v>0</v>
      </c>
      <c r="N502" s="91">
        <f t="shared" si="134"/>
        <v>2929.0665415420949</v>
      </c>
      <c r="O502" s="91">
        <f t="shared" si="134"/>
        <v>55.40779918915063</v>
      </c>
      <c r="P502" s="91">
        <f t="shared" si="134"/>
        <v>279.74459135180666</v>
      </c>
      <c r="Q502" s="91">
        <f t="shared" si="134"/>
        <v>0</v>
      </c>
      <c r="R502" s="91">
        <f t="shared" si="134"/>
        <v>0</v>
      </c>
      <c r="S502" s="91">
        <f t="shared" si="134"/>
        <v>0</v>
      </c>
      <c r="T502" s="91">
        <f t="shared" si="134"/>
        <v>0</v>
      </c>
      <c r="U502" s="91">
        <f t="shared" si="134"/>
        <v>0</v>
      </c>
      <c r="V502" s="91">
        <f t="shared" si="134"/>
        <v>0</v>
      </c>
      <c r="W502" s="91">
        <f t="shared" si="134"/>
        <v>0</v>
      </c>
      <c r="X502" s="91">
        <f t="shared" si="134"/>
        <v>0</v>
      </c>
      <c r="Y502" s="91">
        <f t="shared" si="134"/>
        <v>0</v>
      </c>
      <c r="AQ502" s="3"/>
    </row>
    <row r="503" spans="5:43" x14ac:dyDescent="0.35">
      <c r="E503" s="336"/>
      <c r="F503" s="2" t="s">
        <v>981</v>
      </c>
      <c r="G503" t="s">
        <v>212</v>
      </c>
      <c r="J503" s="91">
        <f t="shared" ref="J503:Y503" si="135">J472</f>
        <v>0</v>
      </c>
      <c r="K503" s="91">
        <f t="shared" si="135"/>
        <v>0</v>
      </c>
      <c r="L503" s="91">
        <f t="shared" si="135"/>
        <v>34298.531030187536</v>
      </c>
      <c r="M503" s="91">
        <f t="shared" si="135"/>
        <v>0</v>
      </c>
      <c r="N503" s="91">
        <f t="shared" si="135"/>
        <v>3944.2612247361913</v>
      </c>
      <c r="O503" s="91">
        <f t="shared" si="135"/>
        <v>224.73721006017257</v>
      </c>
      <c r="P503" s="91">
        <f t="shared" si="135"/>
        <v>315.87508664769206</v>
      </c>
      <c r="Q503" s="91">
        <f t="shared" si="135"/>
        <v>0</v>
      </c>
      <c r="R503" s="91">
        <f t="shared" si="135"/>
        <v>0</v>
      </c>
      <c r="S503" s="91">
        <f t="shared" si="135"/>
        <v>0</v>
      </c>
      <c r="T503" s="91">
        <f t="shared" si="135"/>
        <v>0</v>
      </c>
      <c r="U503" s="91">
        <f t="shared" si="135"/>
        <v>0</v>
      </c>
      <c r="V503" s="91">
        <f t="shared" si="135"/>
        <v>0</v>
      </c>
      <c r="W503" s="91">
        <f t="shared" si="135"/>
        <v>0</v>
      </c>
      <c r="X503" s="91">
        <f t="shared" si="135"/>
        <v>0</v>
      </c>
      <c r="Y503" s="91">
        <f t="shared" si="135"/>
        <v>0</v>
      </c>
      <c r="AQ503" s="3"/>
    </row>
    <row r="504" spans="5:43" x14ac:dyDescent="0.35">
      <c r="E504" s="62" t="s">
        <v>250</v>
      </c>
      <c r="F504" s="2"/>
      <c r="J504" s="22"/>
      <c r="K504" s="22"/>
      <c r="L504" s="22"/>
      <c r="M504" s="22"/>
      <c r="N504" s="22"/>
      <c r="O504" s="22"/>
      <c r="P504" s="22"/>
      <c r="Q504" s="22"/>
      <c r="R504" s="22"/>
      <c r="S504" s="22"/>
      <c r="T504" s="22"/>
      <c r="U504" s="22"/>
      <c r="V504" s="22"/>
      <c r="W504" s="22"/>
      <c r="X504" s="22"/>
      <c r="Y504" s="22"/>
      <c r="AQ504" s="3"/>
    </row>
    <row r="505" spans="5:43" x14ac:dyDescent="0.35">
      <c r="E505" s="336"/>
      <c r="F505" s="2" t="s">
        <v>978</v>
      </c>
      <c r="G505" t="s">
        <v>251</v>
      </c>
      <c r="J505" s="121">
        <f t="shared" ref="J505:Y505" si="136">J357</f>
        <v>0</v>
      </c>
      <c r="K505" s="121">
        <f t="shared" si="136"/>
        <v>0</v>
      </c>
      <c r="L505" s="121">
        <f t="shared" si="136"/>
        <v>0</v>
      </c>
      <c r="M505" s="121">
        <f t="shared" si="136"/>
        <v>0</v>
      </c>
      <c r="N505" s="121">
        <f t="shared" si="136"/>
        <v>541.06652698643586</v>
      </c>
      <c r="O505" s="121">
        <f t="shared" si="136"/>
        <v>0</v>
      </c>
      <c r="P505" s="121">
        <f t="shared" si="136"/>
        <v>1959.8947395060832</v>
      </c>
      <c r="Q505" s="121">
        <f t="shared" si="136"/>
        <v>0</v>
      </c>
      <c r="R505" s="121">
        <f t="shared" si="136"/>
        <v>0</v>
      </c>
      <c r="S505" s="121">
        <f t="shared" si="136"/>
        <v>0</v>
      </c>
      <c r="T505" s="121">
        <f t="shared" si="136"/>
        <v>0</v>
      </c>
      <c r="U505" s="121">
        <f t="shared" si="136"/>
        <v>0</v>
      </c>
      <c r="V505" s="121">
        <f t="shared" si="136"/>
        <v>0</v>
      </c>
      <c r="W505" s="121">
        <f t="shared" si="136"/>
        <v>0</v>
      </c>
      <c r="X505" s="121">
        <f t="shared" si="136"/>
        <v>0</v>
      </c>
      <c r="Y505" s="121">
        <f t="shared" si="136"/>
        <v>0</v>
      </c>
      <c r="AQ505" s="3"/>
    </row>
    <row r="506" spans="5:43" x14ac:dyDescent="0.35">
      <c r="E506" s="336"/>
      <c r="F506" s="2" t="s">
        <v>979</v>
      </c>
      <c r="G506" t="s">
        <v>251</v>
      </c>
      <c r="J506" s="346">
        <f t="shared" ref="J506:Y506" si="137">J386</f>
        <v>0</v>
      </c>
      <c r="K506" s="346">
        <f t="shared" si="137"/>
        <v>0</v>
      </c>
      <c r="L506" s="346">
        <f t="shared" si="137"/>
        <v>0</v>
      </c>
      <c r="M506" s="346">
        <f t="shared" si="137"/>
        <v>0</v>
      </c>
      <c r="N506" s="346">
        <f t="shared" si="137"/>
        <v>653945.85403257504</v>
      </c>
      <c r="O506" s="346">
        <f t="shared" si="137"/>
        <v>560.28487014752056</v>
      </c>
      <c r="P506" s="346">
        <f t="shared" si="137"/>
        <v>120679.83468783284</v>
      </c>
      <c r="Q506" s="346">
        <f t="shared" si="137"/>
        <v>0</v>
      </c>
      <c r="R506" s="346">
        <f t="shared" si="137"/>
        <v>0</v>
      </c>
      <c r="S506" s="346">
        <f t="shared" si="137"/>
        <v>0</v>
      </c>
      <c r="T506" s="346">
        <f t="shared" si="137"/>
        <v>0</v>
      </c>
      <c r="U506" s="346">
        <f t="shared" si="137"/>
        <v>0</v>
      </c>
      <c r="V506" s="346">
        <f t="shared" si="137"/>
        <v>0</v>
      </c>
      <c r="W506" s="346">
        <f t="shared" si="137"/>
        <v>0</v>
      </c>
      <c r="X506" s="346">
        <f t="shared" si="137"/>
        <v>0</v>
      </c>
      <c r="Y506" s="346">
        <f t="shared" si="137"/>
        <v>0</v>
      </c>
      <c r="AQ506" s="3"/>
    </row>
    <row r="507" spans="5:43" x14ac:dyDescent="0.35">
      <c r="E507" s="336"/>
      <c r="F507" s="2" t="s">
        <v>980</v>
      </c>
      <c r="G507" t="s">
        <v>251</v>
      </c>
      <c r="J507" s="346">
        <f t="shared" ref="J507:Y507" si="138">J415</f>
        <v>0</v>
      </c>
      <c r="K507" s="346">
        <f t="shared" si="138"/>
        <v>0</v>
      </c>
      <c r="L507" s="346">
        <f t="shared" si="138"/>
        <v>0</v>
      </c>
      <c r="M507" s="346">
        <f t="shared" si="138"/>
        <v>0</v>
      </c>
      <c r="N507" s="346">
        <f t="shared" si="138"/>
        <v>649500.8085869744</v>
      </c>
      <c r="O507" s="346">
        <f t="shared" si="138"/>
        <v>7307.7628560145658</v>
      </c>
      <c r="P507" s="346">
        <f t="shared" si="138"/>
        <v>454317.65299815667</v>
      </c>
      <c r="Q507" s="346">
        <f t="shared" si="138"/>
        <v>0</v>
      </c>
      <c r="R507" s="346">
        <f t="shared" si="138"/>
        <v>0</v>
      </c>
      <c r="S507" s="346">
        <f t="shared" si="138"/>
        <v>0</v>
      </c>
      <c r="T507" s="346">
        <f t="shared" si="138"/>
        <v>0</v>
      </c>
      <c r="U507" s="346">
        <f t="shared" si="138"/>
        <v>0</v>
      </c>
      <c r="V507" s="346">
        <f t="shared" si="138"/>
        <v>0</v>
      </c>
      <c r="W507" s="346">
        <f t="shared" si="138"/>
        <v>0</v>
      </c>
      <c r="X507" s="346">
        <f t="shared" si="138"/>
        <v>0</v>
      </c>
      <c r="Y507" s="346">
        <f t="shared" si="138"/>
        <v>0</v>
      </c>
      <c r="AQ507" s="3"/>
    </row>
    <row r="508" spans="5:43" x14ac:dyDescent="0.35">
      <c r="E508" s="336"/>
      <c r="F508" s="2" t="s">
        <v>982</v>
      </c>
      <c r="G508" t="s">
        <v>251</v>
      </c>
      <c r="J508" s="91">
        <f t="shared" ref="J508:Y508" si="139">J444</f>
        <v>0</v>
      </c>
      <c r="K508" s="91">
        <f t="shared" si="139"/>
        <v>0</v>
      </c>
      <c r="L508" s="91">
        <f t="shared" si="139"/>
        <v>0</v>
      </c>
      <c r="M508" s="91">
        <f t="shared" si="139"/>
        <v>0</v>
      </c>
      <c r="N508" s="91">
        <f t="shared" si="139"/>
        <v>527762.58539924154</v>
      </c>
      <c r="O508" s="91">
        <f t="shared" si="139"/>
        <v>11190.330027990804</v>
      </c>
      <c r="P508" s="91">
        <f t="shared" si="139"/>
        <v>359216.51168519043</v>
      </c>
      <c r="Q508" s="91">
        <f t="shared" si="139"/>
        <v>0</v>
      </c>
      <c r="R508" s="91">
        <f t="shared" si="139"/>
        <v>0</v>
      </c>
      <c r="S508" s="91">
        <f t="shared" si="139"/>
        <v>0</v>
      </c>
      <c r="T508" s="91">
        <f t="shared" si="139"/>
        <v>0</v>
      </c>
      <c r="U508" s="91">
        <f t="shared" si="139"/>
        <v>0</v>
      </c>
      <c r="V508" s="91">
        <f t="shared" si="139"/>
        <v>0</v>
      </c>
      <c r="W508" s="91">
        <f t="shared" si="139"/>
        <v>0</v>
      </c>
      <c r="X508" s="91">
        <f t="shared" si="139"/>
        <v>0</v>
      </c>
      <c r="Y508" s="91">
        <f t="shared" si="139"/>
        <v>0</v>
      </c>
      <c r="AQ508" s="3"/>
    </row>
    <row r="509" spans="5:43" x14ac:dyDescent="0.35">
      <c r="E509" s="336"/>
      <c r="F509" s="2" t="s">
        <v>981</v>
      </c>
      <c r="G509" t="s">
        <v>251</v>
      </c>
      <c r="J509" s="91">
        <f>J473</f>
        <v>0</v>
      </c>
      <c r="K509" s="91">
        <f t="shared" ref="K509:Y509" si="140">K473</f>
        <v>0</v>
      </c>
      <c r="L509" s="91">
        <f t="shared" si="140"/>
        <v>0</v>
      </c>
      <c r="M509" s="91">
        <f t="shared" si="140"/>
        <v>0</v>
      </c>
      <c r="N509" s="91">
        <f t="shared" si="140"/>
        <v>1716631.5862012368</v>
      </c>
      <c r="O509" s="91">
        <f t="shared" si="140"/>
        <v>139522.59338116698</v>
      </c>
      <c r="P509" s="91">
        <f t="shared" si="140"/>
        <v>1040360.9402770289</v>
      </c>
      <c r="Q509" s="91">
        <f t="shared" si="140"/>
        <v>0</v>
      </c>
      <c r="R509" s="91">
        <f t="shared" si="140"/>
        <v>0</v>
      </c>
      <c r="S509" s="91">
        <f t="shared" si="140"/>
        <v>0</v>
      </c>
      <c r="T509" s="91">
        <f t="shared" si="140"/>
        <v>0</v>
      </c>
      <c r="U509" s="91">
        <f t="shared" si="140"/>
        <v>0</v>
      </c>
      <c r="V509" s="91">
        <f t="shared" si="140"/>
        <v>0</v>
      </c>
      <c r="W509" s="91">
        <f t="shared" si="140"/>
        <v>0</v>
      </c>
      <c r="X509" s="91">
        <f t="shared" si="140"/>
        <v>0</v>
      </c>
      <c r="Y509" s="91">
        <f t="shared" si="140"/>
        <v>0</v>
      </c>
      <c r="AQ509" s="3"/>
    </row>
    <row r="510" spans="5:43" x14ac:dyDescent="0.35">
      <c r="E510" s="62" t="s">
        <v>252</v>
      </c>
      <c r="F510" s="2"/>
      <c r="J510" s="22"/>
      <c r="K510" s="22"/>
      <c r="L510" s="22"/>
      <c r="M510" s="22"/>
      <c r="N510" s="22"/>
      <c r="O510" s="22"/>
      <c r="P510" s="22"/>
      <c r="Q510" s="22"/>
      <c r="R510" s="22"/>
      <c r="S510" s="22"/>
      <c r="T510" s="22"/>
      <c r="U510" s="22"/>
      <c r="V510" s="22"/>
      <c r="W510" s="22"/>
      <c r="X510" s="22"/>
      <c r="Y510" s="22"/>
      <c r="AQ510" s="3"/>
    </row>
    <row r="511" spans="5:43" x14ac:dyDescent="0.35">
      <c r="E511" s="336"/>
      <c r="F511" s="2" t="s">
        <v>978</v>
      </c>
      <c r="G511" t="s">
        <v>251</v>
      </c>
      <c r="J511" s="121">
        <f t="shared" ref="J511:Y511" si="141">J358</f>
        <v>0</v>
      </c>
      <c r="K511" s="121">
        <f t="shared" si="141"/>
        <v>0</v>
      </c>
      <c r="L511" s="121">
        <f t="shared" si="141"/>
        <v>0</v>
      </c>
      <c r="M511" s="121">
        <f t="shared" si="141"/>
        <v>0</v>
      </c>
      <c r="N511" s="121">
        <f t="shared" si="141"/>
        <v>8.8396001529576367</v>
      </c>
      <c r="O511" s="121">
        <f t="shared" si="141"/>
        <v>0</v>
      </c>
      <c r="P511" s="121">
        <f t="shared" si="141"/>
        <v>40.422569491496176</v>
      </c>
      <c r="Q511" s="121">
        <f t="shared" si="141"/>
        <v>0</v>
      </c>
      <c r="R511" s="121">
        <f t="shared" si="141"/>
        <v>0</v>
      </c>
      <c r="S511" s="121">
        <f t="shared" si="141"/>
        <v>0</v>
      </c>
      <c r="T511" s="121">
        <f t="shared" si="141"/>
        <v>0</v>
      </c>
      <c r="U511" s="121">
        <f t="shared" si="141"/>
        <v>0</v>
      </c>
      <c r="V511" s="121">
        <f t="shared" si="141"/>
        <v>0</v>
      </c>
      <c r="W511" s="121">
        <f t="shared" si="141"/>
        <v>0</v>
      </c>
      <c r="X511" s="121">
        <f t="shared" si="141"/>
        <v>0</v>
      </c>
      <c r="Y511" s="121">
        <f t="shared" si="141"/>
        <v>0</v>
      </c>
      <c r="AQ511" s="3"/>
    </row>
    <row r="512" spans="5:43" x14ac:dyDescent="0.35">
      <c r="E512" s="336"/>
      <c r="F512" s="2" t="s">
        <v>979</v>
      </c>
      <c r="G512" t="s">
        <v>251</v>
      </c>
      <c r="J512" s="346">
        <f t="shared" ref="J512:Y512" si="142">J387</f>
        <v>0</v>
      </c>
      <c r="K512" s="346">
        <f t="shared" si="142"/>
        <v>0</v>
      </c>
      <c r="L512" s="346">
        <f t="shared" si="142"/>
        <v>0</v>
      </c>
      <c r="M512" s="346">
        <f t="shared" si="142"/>
        <v>0</v>
      </c>
      <c r="N512" s="346">
        <f t="shared" si="142"/>
        <v>10484.763198651995</v>
      </c>
      <c r="O512" s="346">
        <f t="shared" si="142"/>
        <v>2.4188773321338299</v>
      </c>
      <c r="P512" s="346">
        <f t="shared" si="142"/>
        <v>2489.0056111485642</v>
      </c>
      <c r="Q512" s="346">
        <f t="shared" si="142"/>
        <v>0</v>
      </c>
      <c r="R512" s="346">
        <f t="shared" si="142"/>
        <v>0</v>
      </c>
      <c r="S512" s="346">
        <f t="shared" si="142"/>
        <v>0</v>
      </c>
      <c r="T512" s="346">
        <f t="shared" si="142"/>
        <v>0</v>
      </c>
      <c r="U512" s="346">
        <f t="shared" si="142"/>
        <v>0</v>
      </c>
      <c r="V512" s="346">
        <f t="shared" si="142"/>
        <v>0</v>
      </c>
      <c r="W512" s="346">
        <f t="shared" si="142"/>
        <v>0</v>
      </c>
      <c r="X512" s="346">
        <f t="shared" si="142"/>
        <v>0</v>
      </c>
      <c r="Y512" s="346">
        <f t="shared" si="142"/>
        <v>0</v>
      </c>
      <c r="AQ512" s="3"/>
    </row>
    <row r="513" spans="3:43" x14ac:dyDescent="0.35">
      <c r="E513" s="336"/>
      <c r="F513" s="2" t="s">
        <v>980</v>
      </c>
      <c r="G513" t="s">
        <v>251</v>
      </c>
      <c r="J513" s="346">
        <f t="shared" ref="J513:Y513" si="143">J416</f>
        <v>0</v>
      </c>
      <c r="K513" s="346">
        <f t="shared" si="143"/>
        <v>0</v>
      </c>
      <c r="L513" s="346">
        <f t="shared" si="143"/>
        <v>0</v>
      </c>
      <c r="M513" s="346">
        <f t="shared" si="143"/>
        <v>0</v>
      </c>
      <c r="N513" s="346">
        <f t="shared" si="143"/>
        <v>10314.664533235764</v>
      </c>
      <c r="O513" s="346">
        <f t="shared" si="143"/>
        <v>31.549275846711769</v>
      </c>
      <c r="P513" s="346">
        <f t="shared" si="143"/>
        <v>9370.2414366189678</v>
      </c>
      <c r="Q513" s="346">
        <f t="shared" si="143"/>
        <v>0</v>
      </c>
      <c r="R513" s="346">
        <f t="shared" si="143"/>
        <v>0</v>
      </c>
      <c r="S513" s="346">
        <f t="shared" si="143"/>
        <v>0</v>
      </c>
      <c r="T513" s="346">
        <f t="shared" si="143"/>
        <v>0</v>
      </c>
      <c r="U513" s="346">
        <f t="shared" si="143"/>
        <v>0</v>
      </c>
      <c r="V513" s="346">
        <f t="shared" si="143"/>
        <v>0</v>
      </c>
      <c r="W513" s="346">
        <f t="shared" si="143"/>
        <v>0</v>
      </c>
      <c r="X513" s="346">
        <f t="shared" si="143"/>
        <v>0</v>
      </c>
      <c r="Y513" s="346">
        <f t="shared" si="143"/>
        <v>0</v>
      </c>
      <c r="AQ513" s="3"/>
    </row>
    <row r="514" spans="3:43" x14ac:dyDescent="0.35">
      <c r="E514" s="336"/>
      <c r="F514" s="2" t="s">
        <v>982</v>
      </c>
      <c r="G514" t="s">
        <v>251</v>
      </c>
      <c r="J514" s="91">
        <f t="shared" ref="J514:Y514" si="144">J445</f>
        <v>0</v>
      </c>
      <c r="K514" s="91">
        <f t="shared" si="144"/>
        <v>0</v>
      </c>
      <c r="L514" s="91">
        <f t="shared" si="144"/>
        <v>0</v>
      </c>
      <c r="M514" s="91">
        <f t="shared" si="144"/>
        <v>0</v>
      </c>
      <c r="N514" s="91">
        <f t="shared" si="144"/>
        <v>8324.327375576584</v>
      </c>
      <c r="O514" s="91">
        <f t="shared" si="144"/>
        <v>48.311202186624435</v>
      </c>
      <c r="P514" s="91">
        <f t="shared" si="144"/>
        <v>7408.7929894371728</v>
      </c>
      <c r="Q514" s="91">
        <f t="shared" si="144"/>
        <v>0</v>
      </c>
      <c r="R514" s="91">
        <f t="shared" si="144"/>
        <v>0</v>
      </c>
      <c r="S514" s="91">
        <f t="shared" si="144"/>
        <v>0</v>
      </c>
      <c r="T514" s="91">
        <f t="shared" si="144"/>
        <v>0</v>
      </c>
      <c r="U514" s="91">
        <f t="shared" si="144"/>
        <v>0</v>
      </c>
      <c r="V514" s="91">
        <f t="shared" si="144"/>
        <v>0</v>
      </c>
      <c r="W514" s="91">
        <f t="shared" si="144"/>
        <v>0</v>
      </c>
      <c r="X514" s="91">
        <f t="shared" si="144"/>
        <v>0</v>
      </c>
      <c r="Y514" s="91">
        <f t="shared" si="144"/>
        <v>0</v>
      </c>
      <c r="AQ514" s="3"/>
    </row>
    <row r="515" spans="3:43" x14ac:dyDescent="0.35">
      <c r="E515" s="336"/>
      <c r="F515" s="2" t="s">
        <v>981</v>
      </c>
      <c r="G515" t="s">
        <v>251</v>
      </c>
      <c r="J515" s="91">
        <f t="shared" ref="J515:Y515" si="145">J474</f>
        <v>0</v>
      </c>
      <c r="K515" s="91">
        <f t="shared" si="145"/>
        <v>0</v>
      </c>
      <c r="L515" s="91">
        <f t="shared" si="145"/>
        <v>0</v>
      </c>
      <c r="M515" s="91">
        <f t="shared" si="145"/>
        <v>0</v>
      </c>
      <c r="N515" s="91">
        <f t="shared" si="145"/>
        <v>27301.537913197037</v>
      </c>
      <c r="O515" s="91">
        <f t="shared" si="145"/>
        <v>602.3507976600747</v>
      </c>
      <c r="P515" s="91">
        <f t="shared" si="145"/>
        <v>21457.306638408878</v>
      </c>
      <c r="Q515" s="91">
        <f t="shared" si="145"/>
        <v>0</v>
      </c>
      <c r="R515" s="91">
        <f t="shared" si="145"/>
        <v>0</v>
      </c>
      <c r="S515" s="91">
        <f t="shared" si="145"/>
        <v>0</v>
      </c>
      <c r="T515" s="91">
        <f t="shared" si="145"/>
        <v>0</v>
      </c>
      <c r="U515" s="91">
        <f t="shared" si="145"/>
        <v>0</v>
      </c>
      <c r="V515" s="91">
        <f t="shared" si="145"/>
        <v>0</v>
      </c>
      <c r="W515" s="91">
        <f t="shared" si="145"/>
        <v>0</v>
      </c>
      <c r="X515" s="91">
        <f t="shared" si="145"/>
        <v>0</v>
      </c>
      <c r="Y515" s="91">
        <f t="shared" si="145"/>
        <v>0</v>
      </c>
      <c r="AQ515" s="3"/>
    </row>
    <row r="516" spans="3:43" x14ac:dyDescent="0.35">
      <c r="E516" s="336" t="s">
        <v>253</v>
      </c>
      <c r="F516" s="2"/>
      <c r="J516" s="22"/>
      <c r="K516" s="22"/>
      <c r="L516" s="22"/>
      <c r="M516" s="22"/>
      <c r="N516" s="22"/>
      <c r="O516" s="22"/>
      <c r="P516" s="22"/>
      <c r="Q516" s="22"/>
      <c r="R516" s="22"/>
      <c r="S516" s="22"/>
      <c r="T516" s="22"/>
      <c r="U516" s="22"/>
      <c r="V516" s="22"/>
      <c r="W516" s="22"/>
      <c r="X516" s="22"/>
      <c r="Y516" s="22"/>
      <c r="AQ516" s="3"/>
    </row>
    <row r="517" spans="3:43" x14ac:dyDescent="0.35">
      <c r="E517" s="336"/>
      <c r="F517" s="2" t="s">
        <v>978</v>
      </c>
      <c r="G517" t="s">
        <v>254</v>
      </c>
      <c r="J517" s="121">
        <f t="shared" ref="J517:Y517" si="146">J359</f>
        <v>0</v>
      </c>
      <c r="K517" s="121">
        <f t="shared" si="146"/>
        <v>0</v>
      </c>
      <c r="L517" s="121">
        <f t="shared" si="146"/>
        <v>0</v>
      </c>
      <c r="M517" s="121">
        <f t="shared" si="146"/>
        <v>0</v>
      </c>
      <c r="N517" s="121">
        <f t="shared" si="146"/>
        <v>58.995876213502676</v>
      </c>
      <c r="O517" s="121">
        <f t="shared" si="146"/>
        <v>0</v>
      </c>
      <c r="P517" s="121">
        <f t="shared" si="146"/>
        <v>274.59031949823634</v>
      </c>
      <c r="Q517" s="121">
        <f t="shared" si="146"/>
        <v>0</v>
      </c>
      <c r="R517" s="121">
        <f t="shared" si="146"/>
        <v>0</v>
      </c>
      <c r="S517" s="121">
        <f t="shared" si="146"/>
        <v>0</v>
      </c>
      <c r="T517" s="121">
        <f t="shared" si="146"/>
        <v>6750.4085650779352</v>
      </c>
      <c r="U517" s="121">
        <f t="shared" si="146"/>
        <v>0</v>
      </c>
      <c r="V517" s="121">
        <f t="shared" si="146"/>
        <v>0</v>
      </c>
      <c r="W517" s="121">
        <f t="shared" si="146"/>
        <v>0</v>
      </c>
      <c r="X517" s="121">
        <f t="shared" si="146"/>
        <v>37191.039110646561</v>
      </c>
      <c r="Y517" s="121">
        <f t="shared" si="146"/>
        <v>0</v>
      </c>
      <c r="AQ517" s="3"/>
    </row>
    <row r="518" spans="3:43" x14ac:dyDescent="0.35">
      <c r="E518" s="336"/>
      <c r="F518" s="2" t="s">
        <v>979</v>
      </c>
      <c r="G518" t="s">
        <v>254</v>
      </c>
      <c r="J518" s="346">
        <f t="shared" ref="J518:Y518" si="147">J388</f>
        <v>0</v>
      </c>
      <c r="K518" s="346">
        <f t="shared" si="147"/>
        <v>0</v>
      </c>
      <c r="L518" s="346">
        <f t="shared" si="147"/>
        <v>0</v>
      </c>
      <c r="M518" s="346">
        <f t="shared" si="147"/>
        <v>0</v>
      </c>
      <c r="N518" s="346">
        <f t="shared" si="147"/>
        <v>70898.466015145197</v>
      </c>
      <c r="O518" s="346">
        <f t="shared" si="147"/>
        <v>1243.5355674526093</v>
      </c>
      <c r="P518" s="346">
        <f t="shared" si="147"/>
        <v>16980.602269003644</v>
      </c>
      <c r="Q518" s="346">
        <f t="shared" si="147"/>
        <v>0</v>
      </c>
      <c r="R518" s="346">
        <f t="shared" si="147"/>
        <v>0</v>
      </c>
      <c r="S518" s="346">
        <f t="shared" si="147"/>
        <v>0</v>
      </c>
      <c r="T518" s="346">
        <f t="shared" si="147"/>
        <v>0</v>
      </c>
      <c r="U518" s="346">
        <f t="shared" si="147"/>
        <v>0</v>
      </c>
      <c r="V518" s="346">
        <f t="shared" si="147"/>
        <v>0</v>
      </c>
      <c r="W518" s="346">
        <f t="shared" si="147"/>
        <v>0</v>
      </c>
      <c r="X518" s="346">
        <f t="shared" si="147"/>
        <v>0</v>
      </c>
      <c r="Y518" s="346">
        <f t="shared" si="147"/>
        <v>0</v>
      </c>
      <c r="AQ518" s="3"/>
    </row>
    <row r="519" spans="3:43" x14ac:dyDescent="0.35">
      <c r="E519" s="336"/>
      <c r="F519" s="2" t="s">
        <v>980</v>
      </c>
      <c r="G519" t="s">
        <v>254</v>
      </c>
      <c r="J519" s="346">
        <f t="shared" ref="J519:Y519" si="148">J417</f>
        <v>0</v>
      </c>
      <c r="K519" s="346">
        <f t="shared" si="148"/>
        <v>0</v>
      </c>
      <c r="L519" s="346">
        <f t="shared" si="148"/>
        <v>0</v>
      </c>
      <c r="M519" s="346">
        <f t="shared" si="148"/>
        <v>0</v>
      </c>
      <c r="N519" s="346">
        <f t="shared" si="148"/>
        <v>70207.247459441991</v>
      </c>
      <c r="O519" s="346">
        <f t="shared" si="148"/>
        <v>1056.0091419888774</v>
      </c>
      <c r="P519" s="346">
        <f t="shared" si="148"/>
        <v>63789.884805880785</v>
      </c>
      <c r="Q519" s="346">
        <f t="shared" si="148"/>
        <v>0</v>
      </c>
      <c r="R519" s="346">
        <f t="shared" si="148"/>
        <v>0</v>
      </c>
      <c r="S519" s="346">
        <f t="shared" si="148"/>
        <v>0</v>
      </c>
      <c r="T519" s="346">
        <f t="shared" si="148"/>
        <v>0</v>
      </c>
      <c r="U519" s="346">
        <f t="shared" si="148"/>
        <v>0</v>
      </c>
      <c r="V519" s="346">
        <f t="shared" si="148"/>
        <v>0</v>
      </c>
      <c r="W519" s="346">
        <f t="shared" si="148"/>
        <v>0</v>
      </c>
      <c r="X519" s="346">
        <f t="shared" si="148"/>
        <v>0</v>
      </c>
      <c r="Y519" s="346">
        <f t="shared" si="148"/>
        <v>0</v>
      </c>
      <c r="AQ519" s="3"/>
    </row>
    <row r="520" spans="3:43" x14ac:dyDescent="0.35">
      <c r="E520" s="336"/>
      <c r="F520" s="2" t="s">
        <v>982</v>
      </c>
      <c r="G520" t="s">
        <v>254</v>
      </c>
      <c r="J520" s="91">
        <f t="shared" ref="J520:Y520" si="149">J446</f>
        <v>0</v>
      </c>
      <c r="K520" s="91">
        <f t="shared" si="149"/>
        <v>0</v>
      </c>
      <c r="L520" s="91">
        <f t="shared" si="149"/>
        <v>0</v>
      </c>
      <c r="M520" s="91">
        <f t="shared" si="149"/>
        <v>0</v>
      </c>
      <c r="N520" s="91">
        <f t="shared" si="149"/>
        <v>56917.994104846592</v>
      </c>
      <c r="O520" s="91">
        <f t="shared" si="149"/>
        <v>1646.0302742494805</v>
      </c>
      <c r="P520" s="91">
        <f t="shared" si="149"/>
        <v>50347.866960295098</v>
      </c>
      <c r="Q520" s="91">
        <f t="shared" si="149"/>
        <v>0</v>
      </c>
      <c r="R520" s="91">
        <f t="shared" si="149"/>
        <v>0</v>
      </c>
      <c r="S520" s="91">
        <f t="shared" si="149"/>
        <v>0</v>
      </c>
      <c r="T520" s="91">
        <f t="shared" si="149"/>
        <v>0</v>
      </c>
      <c r="U520" s="91">
        <f t="shared" si="149"/>
        <v>0</v>
      </c>
      <c r="V520" s="91">
        <f t="shared" si="149"/>
        <v>0</v>
      </c>
      <c r="W520" s="91">
        <f t="shared" si="149"/>
        <v>0</v>
      </c>
      <c r="X520" s="91">
        <f t="shared" si="149"/>
        <v>0</v>
      </c>
      <c r="Y520" s="91">
        <f t="shared" si="149"/>
        <v>0</v>
      </c>
      <c r="AQ520" s="3"/>
    </row>
    <row r="521" spans="3:43" x14ac:dyDescent="0.35">
      <c r="E521" s="70"/>
      <c r="F521" s="337" t="s">
        <v>981</v>
      </c>
      <c r="G521" s="28" t="s">
        <v>254</v>
      </c>
      <c r="H521" s="28"/>
      <c r="I521" s="28"/>
      <c r="J521" s="346">
        <f t="shared" ref="J521:Y521" si="150">J475</f>
        <v>0</v>
      </c>
      <c r="K521" s="346">
        <f t="shared" si="150"/>
        <v>0</v>
      </c>
      <c r="L521" s="346">
        <f t="shared" si="150"/>
        <v>0</v>
      </c>
      <c r="M521" s="346">
        <f t="shared" si="150"/>
        <v>0</v>
      </c>
      <c r="N521" s="346">
        <f t="shared" si="150"/>
        <v>185668.83195700258</v>
      </c>
      <c r="O521" s="346">
        <f t="shared" si="150"/>
        <v>20753.067337768178</v>
      </c>
      <c r="P521" s="346">
        <f t="shared" si="150"/>
        <v>145941.04841917119</v>
      </c>
      <c r="Q521" s="346">
        <f t="shared" si="150"/>
        <v>0</v>
      </c>
      <c r="R521" s="346">
        <f t="shared" si="150"/>
        <v>0</v>
      </c>
      <c r="S521" s="346">
        <f t="shared" si="150"/>
        <v>0</v>
      </c>
      <c r="T521" s="346">
        <f t="shared" si="150"/>
        <v>0</v>
      </c>
      <c r="U521" s="346">
        <f t="shared" si="150"/>
        <v>0</v>
      </c>
      <c r="V521" s="346">
        <f t="shared" si="150"/>
        <v>0</v>
      </c>
      <c r="W521" s="346">
        <f t="shared" si="150"/>
        <v>0</v>
      </c>
      <c r="X521" s="346">
        <f t="shared" si="150"/>
        <v>0</v>
      </c>
      <c r="Y521" s="346">
        <f t="shared" si="150"/>
        <v>0</v>
      </c>
      <c r="AQ521" s="3"/>
    </row>
    <row r="522" spans="3:43" x14ac:dyDescent="0.35">
      <c r="AQ522" s="3"/>
    </row>
    <row r="523" spans="3:43" x14ac:dyDescent="0.35">
      <c r="C523" s="26" t="str">
        <f ca="1">INDEX('Version control'!$H$38:$H$61,MATCH($A$1,'Version control'!$F$38:$F$61,0),1)&amp;"-J: Volumes by residual band"</f>
        <v>Section 104-J: Volumes by residual band</v>
      </c>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c r="AQ523" s="3"/>
    </row>
    <row r="524" spans="3:43" x14ac:dyDescent="0.35">
      <c r="C524" s="27"/>
      <c r="AQ524" s="3"/>
    </row>
    <row r="525" spans="3:43" x14ac:dyDescent="0.35">
      <c r="D525" s="27" t="s">
        <v>1130</v>
      </c>
      <c r="AQ525" s="3"/>
    </row>
    <row r="526" spans="3:43" x14ac:dyDescent="0.35">
      <c r="E526" s="68" t="s">
        <v>247</v>
      </c>
      <c r="F526" s="19"/>
      <c r="G526" s="19"/>
      <c r="H526" s="19"/>
      <c r="I526" s="19"/>
      <c r="J526" s="19"/>
      <c r="K526" s="19"/>
      <c r="L526" s="19"/>
      <c r="M526" s="19"/>
      <c r="N526" s="19"/>
      <c r="O526" s="19"/>
      <c r="P526" s="19"/>
      <c r="Q526" s="19"/>
      <c r="R526" s="19"/>
      <c r="S526" s="19"/>
      <c r="T526" s="19"/>
      <c r="U526" s="19"/>
      <c r="V526" s="19"/>
      <c r="W526" s="19"/>
      <c r="X526" s="19"/>
      <c r="Y526" s="19"/>
      <c r="AQ526" s="3"/>
    </row>
    <row r="527" spans="3:43" x14ac:dyDescent="0.35">
      <c r="E527" s="336"/>
      <c r="F527" s="2" t="s">
        <v>978</v>
      </c>
      <c r="G527" t="s">
        <v>207</v>
      </c>
      <c r="J527" s="121">
        <f>J58</f>
        <v>0</v>
      </c>
      <c r="K527" s="121">
        <f t="shared" ref="K527:Y527" si="151">K58</f>
        <v>327.1864201957822</v>
      </c>
      <c r="L527" s="121">
        <f t="shared" si="151"/>
        <v>21.322867534041706</v>
      </c>
      <c r="M527" s="121">
        <f t="shared" si="151"/>
        <v>600.6058735440879</v>
      </c>
      <c r="N527" s="121">
        <f t="shared" si="151"/>
        <v>78.59078647039631</v>
      </c>
      <c r="O527" s="121">
        <f t="shared" si="151"/>
        <v>0</v>
      </c>
      <c r="P527" s="121">
        <f t="shared" si="151"/>
        <v>376.43364027248634</v>
      </c>
      <c r="Q527" s="121">
        <f t="shared" si="151"/>
        <v>0</v>
      </c>
      <c r="R527" s="121">
        <f t="shared" si="151"/>
        <v>923.34399999999982</v>
      </c>
      <c r="S527" s="121">
        <f t="shared" si="151"/>
        <v>19.360999999999997</v>
      </c>
      <c r="T527" s="121">
        <f t="shared" si="151"/>
        <v>3318.3707999999997</v>
      </c>
      <c r="U527" s="121">
        <f t="shared" si="151"/>
        <v>0</v>
      </c>
      <c r="V527" s="121">
        <f t="shared" si="151"/>
        <v>0</v>
      </c>
      <c r="W527" s="121">
        <f t="shared" si="151"/>
        <v>0</v>
      </c>
      <c r="X527" s="121">
        <f t="shared" si="151"/>
        <v>83699.301999999996</v>
      </c>
      <c r="Y527" s="121">
        <f t="shared" si="151"/>
        <v>0</v>
      </c>
      <c r="AQ527" s="3"/>
    </row>
    <row r="528" spans="3:43" x14ac:dyDescent="0.35">
      <c r="E528" s="336"/>
      <c r="F528" s="2" t="s">
        <v>979</v>
      </c>
      <c r="G528" t="s">
        <v>207</v>
      </c>
      <c r="J528" s="346">
        <f>J67</f>
        <v>1178510.0378350527</v>
      </c>
      <c r="K528" s="346">
        <f t="shared" ref="K528:Y528" si="152">K67</f>
        <v>0</v>
      </c>
      <c r="L528" s="346">
        <f t="shared" si="152"/>
        <v>25441.776643061443</v>
      </c>
      <c r="M528" s="346">
        <f t="shared" si="152"/>
        <v>0</v>
      </c>
      <c r="N528" s="346">
        <f t="shared" si="152"/>
        <v>92998.855294239955</v>
      </c>
      <c r="O528" s="346">
        <f t="shared" si="152"/>
        <v>101.05515913034712</v>
      </c>
      <c r="P528" s="346">
        <f t="shared" si="152"/>
        <v>23178.770044799025</v>
      </c>
      <c r="Q528" s="346">
        <f t="shared" si="152"/>
        <v>9329.8278943829773</v>
      </c>
      <c r="R528" s="346">
        <f t="shared" si="152"/>
        <v>0</v>
      </c>
      <c r="S528" s="346">
        <f t="shared" si="152"/>
        <v>0</v>
      </c>
      <c r="T528" s="346">
        <f t="shared" si="152"/>
        <v>0</v>
      </c>
      <c r="U528" s="346">
        <f t="shared" si="152"/>
        <v>0</v>
      </c>
      <c r="V528" s="346">
        <f t="shared" si="152"/>
        <v>0</v>
      </c>
      <c r="W528" s="346">
        <f t="shared" si="152"/>
        <v>0</v>
      </c>
      <c r="X528" s="346">
        <f t="shared" si="152"/>
        <v>0</v>
      </c>
      <c r="Y528" s="346">
        <f t="shared" si="152"/>
        <v>0</v>
      </c>
      <c r="AQ528" s="3"/>
    </row>
    <row r="529" spans="5:43" x14ac:dyDescent="0.35">
      <c r="E529" s="336"/>
      <c r="F529" s="2" t="s">
        <v>980</v>
      </c>
      <c r="G529" t="s">
        <v>207</v>
      </c>
      <c r="J529" s="346">
        <f>J76</f>
        <v>0</v>
      </c>
      <c r="K529" s="346">
        <f t="shared" ref="K529:Y529" si="153">K76</f>
        <v>0</v>
      </c>
      <c r="L529" s="346">
        <f t="shared" si="153"/>
        <v>52914.692479531048</v>
      </c>
      <c r="M529" s="346">
        <f t="shared" si="153"/>
        <v>0</v>
      </c>
      <c r="N529" s="346">
        <f t="shared" si="153"/>
        <v>91368.864784198726</v>
      </c>
      <c r="O529" s="346">
        <f t="shared" si="153"/>
        <v>1318.0565416784348</v>
      </c>
      <c r="P529" s="346">
        <f t="shared" si="153"/>
        <v>87260.01683194864</v>
      </c>
      <c r="Q529" s="346">
        <f t="shared" si="153"/>
        <v>0</v>
      </c>
      <c r="R529" s="346">
        <f t="shared" si="153"/>
        <v>0</v>
      </c>
      <c r="S529" s="346">
        <f t="shared" si="153"/>
        <v>0</v>
      </c>
      <c r="T529" s="346">
        <f t="shared" si="153"/>
        <v>0</v>
      </c>
      <c r="U529" s="346">
        <f t="shared" si="153"/>
        <v>0</v>
      </c>
      <c r="V529" s="346">
        <f t="shared" si="153"/>
        <v>0</v>
      </c>
      <c r="W529" s="346">
        <f t="shared" si="153"/>
        <v>0</v>
      </c>
      <c r="X529" s="346">
        <f t="shared" si="153"/>
        <v>0</v>
      </c>
      <c r="Y529" s="346">
        <f t="shared" si="153"/>
        <v>0</v>
      </c>
      <c r="AQ529" s="3"/>
    </row>
    <row r="530" spans="5:43" x14ac:dyDescent="0.35">
      <c r="E530" s="336"/>
      <c r="F530" s="2" t="s">
        <v>982</v>
      </c>
      <c r="G530" t="s">
        <v>207</v>
      </c>
      <c r="J530" s="91">
        <f>J85</f>
        <v>0</v>
      </c>
      <c r="K530" s="91">
        <f t="shared" ref="K530:Y530" si="154">K85</f>
        <v>0</v>
      </c>
      <c r="L530" s="91">
        <f t="shared" si="154"/>
        <v>61009.229305397719</v>
      </c>
      <c r="M530" s="91">
        <f t="shared" si="154"/>
        <v>0</v>
      </c>
      <c r="N530" s="91">
        <f t="shared" si="154"/>
        <v>73655.233429662068</v>
      </c>
      <c r="O530" s="91">
        <f t="shared" si="154"/>
        <v>2018.331463068005</v>
      </c>
      <c r="P530" s="91">
        <f t="shared" si="154"/>
        <v>68994.102802540176</v>
      </c>
      <c r="Q530" s="91">
        <f t="shared" si="154"/>
        <v>0</v>
      </c>
      <c r="R530" s="91">
        <f t="shared" si="154"/>
        <v>0</v>
      </c>
      <c r="S530" s="91">
        <f t="shared" si="154"/>
        <v>0</v>
      </c>
      <c r="T530" s="91">
        <f t="shared" si="154"/>
        <v>0</v>
      </c>
      <c r="U530" s="91">
        <f t="shared" si="154"/>
        <v>0</v>
      </c>
      <c r="V530" s="91">
        <f t="shared" si="154"/>
        <v>0</v>
      </c>
      <c r="W530" s="91">
        <f t="shared" si="154"/>
        <v>0</v>
      </c>
      <c r="X530" s="91">
        <f t="shared" si="154"/>
        <v>0</v>
      </c>
      <c r="Y530" s="91">
        <f t="shared" si="154"/>
        <v>0</v>
      </c>
      <c r="AQ530" s="3"/>
    </row>
    <row r="531" spans="5:43" x14ac:dyDescent="0.35">
      <c r="E531" s="336"/>
      <c r="F531" s="2" t="s">
        <v>981</v>
      </c>
      <c r="G531" t="s">
        <v>207</v>
      </c>
      <c r="J531" s="91">
        <f>J94</f>
        <v>0</v>
      </c>
      <c r="K531" s="91">
        <f t="shared" ref="K531:Y531" si="155">K94</f>
        <v>0</v>
      </c>
      <c r="L531" s="91">
        <f t="shared" si="155"/>
        <v>165742.8558292884</v>
      </c>
      <c r="M531" s="91">
        <f t="shared" si="155"/>
        <v>0</v>
      </c>
      <c r="N531" s="91">
        <f t="shared" si="155"/>
        <v>241925.66911120774</v>
      </c>
      <c r="O531" s="91">
        <f t="shared" si="155"/>
        <v>25164.837795281204</v>
      </c>
      <c r="P531" s="91">
        <f t="shared" si="155"/>
        <v>199820.35159933308</v>
      </c>
      <c r="Q531" s="91">
        <f t="shared" si="155"/>
        <v>0</v>
      </c>
      <c r="R531" s="91">
        <f t="shared" si="155"/>
        <v>0</v>
      </c>
      <c r="S531" s="91">
        <f t="shared" si="155"/>
        <v>0</v>
      </c>
      <c r="T531" s="91">
        <f t="shared" si="155"/>
        <v>0</v>
      </c>
      <c r="U531" s="91">
        <f t="shared" si="155"/>
        <v>0</v>
      </c>
      <c r="V531" s="91">
        <f t="shared" si="155"/>
        <v>0</v>
      </c>
      <c r="W531" s="91">
        <f t="shared" si="155"/>
        <v>0</v>
      </c>
      <c r="X531" s="91">
        <f t="shared" si="155"/>
        <v>0</v>
      </c>
      <c r="Y531" s="91">
        <f t="shared" si="155"/>
        <v>0</v>
      </c>
      <c r="AQ531" s="3"/>
    </row>
    <row r="532" spans="5:43" x14ac:dyDescent="0.35">
      <c r="E532" s="62" t="s">
        <v>248</v>
      </c>
      <c r="F532" s="2"/>
      <c r="J532" s="22"/>
      <c r="K532" s="22"/>
      <c r="L532" s="22"/>
      <c r="M532" s="22"/>
      <c r="N532" s="22"/>
      <c r="O532" s="22"/>
      <c r="P532" s="22"/>
      <c r="Q532" s="22"/>
      <c r="R532" s="22"/>
      <c r="S532" s="22"/>
      <c r="T532" s="22"/>
      <c r="U532" s="22"/>
      <c r="V532" s="22"/>
      <c r="W532" s="22"/>
      <c r="X532" s="22"/>
      <c r="Y532" s="22"/>
      <c r="AQ532" s="3"/>
    </row>
    <row r="533" spans="5:43" x14ac:dyDescent="0.35">
      <c r="E533" s="336"/>
      <c r="F533" s="2" t="s">
        <v>978</v>
      </c>
      <c r="G533" t="s">
        <v>207</v>
      </c>
      <c r="J533" s="121">
        <f>J59</f>
        <v>0</v>
      </c>
      <c r="K533" s="121">
        <f t="shared" ref="K533:Y533" si="156">K59</f>
        <v>37209.495096629304</v>
      </c>
      <c r="L533" s="121">
        <f t="shared" si="156"/>
        <v>134.7979129795242</v>
      </c>
      <c r="M533" s="121">
        <f t="shared" si="156"/>
        <v>7794.8644051182664</v>
      </c>
      <c r="N533" s="121">
        <f t="shared" si="156"/>
        <v>452.42738864355545</v>
      </c>
      <c r="O533" s="121">
        <f t="shared" si="156"/>
        <v>0</v>
      </c>
      <c r="P533" s="121">
        <f t="shared" si="156"/>
        <v>2115.4787940551191</v>
      </c>
      <c r="Q533" s="121">
        <f t="shared" si="156"/>
        <v>0</v>
      </c>
      <c r="R533" s="121">
        <f t="shared" si="156"/>
        <v>7844.6260000000002</v>
      </c>
      <c r="S533" s="121">
        <f t="shared" si="156"/>
        <v>169.173</v>
      </c>
      <c r="T533" s="121">
        <f t="shared" si="156"/>
        <v>30715.611799999999</v>
      </c>
      <c r="U533" s="121">
        <f t="shared" si="156"/>
        <v>0</v>
      </c>
      <c r="V533" s="121">
        <f t="shared" si="156"/>
        <v>0</v>
      </c>
      <c r="W533" s="121">
        <f t="shared" si="156"/>
        <v>0</v>
      </c>
      <c r="X533" s="121">
        <f t="shared" si="156"/>
        <v>531894.13069999998</v>
      </c>
      <c r="Y533" s="121">
        <f t="shared" si="156"/>
        <v>0</v>
      </c>
      <c r="AQ533" s="3"/>
    </row>
    <row r="534" spans="5:43" x14ac:dyDescent="0.35">
      <c r="E534" s="336"/>
      <c r="F534" s="2" t="s">
        <v>979</v>
      </c>
      <c r="G534" t="s">
        <v>207</v>
      </c>
      <c r="J534" s="346">
        <f>J68</f>
        <v>5172352.556943397</v>
      </c>
      <c r="K534" s="346">
        <f t="shared" ref="K534:Y534" si="157">K68</f>
        <v>0</v>
      </c>
      <c r="L534" s="346">
        <f t="shared" si="157"/>
        <v>160836.64115535744</v>
      </c>
      <c r="M534" s="346">
        <f t="shared" si="157"/>
        <v>0</v>
      </c>
      <c r="N534" s="346">
        <f t="shared" si="157"/>
        <v>535371.01659444312</v>
      </c>
      <c r="O534" s="346">
        <f t="shared" si="157"/>
        <v>573.15083013354376</v>
      </c>
      <c r="P534" s="346">
        <f t="shared" si="157"/>
        <v>130259.86855627016</v>
      </c>
      <c r="Q534" s="346">
        <f t="shared" si="157"/>
        <v>68320.814254676996</v>
      </c>
      <c r="R534" s="346">
        <f t="shared" si="157"/>
        <v>0</v>
      </c>
      <c r="S534" s="346">
        <f t="shared" si="157"/>
        <v>0</v>
      </c>
      <c r="T534" s="346">
        <f t="shared" si="157"/>
        <v>0</v>
      </c>
      <c r="U534" s="346">
        <f t="shared" si="157"/>
        <v>0</v>
      </c>
      <c r="V534" s="346">
        <f t="shared" si="157"/>
        <v>0</v>
      </c>
      <c r="W534" s="346">
        <f t="shared" si="157"/>
        <v>0</v>
      </c>
      <c r="X534" s="346">
        <f t="shared" si="157"/>
        <v>0</v>
      </c>
      <c r="Y534" s="346">
        <f t="shared" si="157"/>
        <v>0</v>
      </c>
      <c r="AQ534" s="3"/>
    </row>
    <row r="535" spans="5:43" x14ac:dyDescent="0.35">
      <c r="E535" s="336"/>
      <c r="F535" s="2" t="s">
        <v>980</v>
      </c>
      <c r="G535" t="s">
        <v>207</v>
      </c>
      <c r="J535" s="346">
        <f>J77</f>
        <v>0</v>
      </c>
      <c r="K535" s="346">
        <f t="shared" ref="K535:Y535" si="158">K77</f>
        <v>0</v>
      </c>
      <c r="L535" s="346">
        <f t="shared" si="158"/>
        <v>334513.64366479765</v>
      </c>
      <c r="M535" s="346">
        <f t="shared" si="158"/>
        <v>0</v>
      </c>
      <c r="N535" s="346">
        <f t="shared" si="158"/>
        <v>525987.57124300208</v>
      </c>
      <c r="O535" s="346">
        <f t="shared" si="158"/>
        <v>7475.5728210919278</v>
      </c>
      <c r="P535" s="346">
        <f t="shared" si="158"/>
        <v>490383.15237516334</v>
      </c>
      <c r="Q535" s="346">
        <f t="shared" si="158"/>
        <v>0</v>
      </c>
      <c r="R535" s="346">
        <f t="shared" si="158"/>
        <v>0</v>
      </c>
      <c r="S535" s="346">
        <f t="shared" si="158"/>
        <v>0</v>
      </c>
      <c r="T535" s="346">
        <f t="shared" si="158"/>
        <v>0</v>
      </c>
      <c r="U535" s="346">
        <f t="shared" si="158"/>
        <v>0</v>
      </c>
      <c r="V535" s="346">
        <f t="shared" si="158"/>
        <v>0</v>
      </c>
      <c r="W535" s="346">
        <f t="shared" si="158"/>
        <v>0</v>
      </c>
      <c r="X535" s="346">
        <f t="shared" si="158"/>
        <v>0</v>
      </c>
      <c r="Y535" s="346">
        <f t="shared" si="158"/>
        <v>0</v>
      </c>
      <c r="AQ535" s="3"/>
    </row>
    <row r="536" spans="5:43" x14ac:dyDescent="0.35">
      <c r="E536" s="336"/>
      <c r="F536" s="2" t="s">
        <v>982</v>
      </c>
      <c r="G536" t="s">
        <v>207</v>
      </c>
      <c r="J536" s="91">
        <f>J86</f>
        <v>0</v>
      </c>
      <c r="K536" s="91">
        <f t="shared" ref="K536:Y536" si="159">K86</f>
        <v>0</v>
      </c>
      <c r="L536" s="91">
        <f t="shared" si="159"/>
        <v>385685.31037054252</v>
      </c>
      <c r="M536" s="91">
        <f t="shared" si="159"/>
        <v>0</v>
      </c>
      <c r="N536" s="91">
        <f t="shared" si="159"/>
        <v>424014.651298418</v>
      </c>
      <c r="O536" s="91">
        <f t="shared" si="159"/>
        <v>11447.296342880969</v>
      </c>
      <c r="P536" s="91">
        <f t="shared" si="159"/>
        <v>387732.51319404069</v>
      </c>
      <c r="Q536" s="91">
        <f t="shared" si="159"/>
        <v>0</v>
      </c>
      <c r="R536" s="91">
        <f t="shared" si="159"/>
        <v>0</v>
      </c>
      <c r="S536" s="91">
        <f t="shared" si="159"/>
        <v>0</v>
      </c>
      <c r="T536" s="91">
        <f t="shared" si="159"/>
        <v>0</v>
      </c>
      <c r="U536" s="91">
        <f t="shared" si="159"/>
        <v>0</v>
      </c>
      <c r="V536" s="91">
        <f t="shared" si="159"/>
        <v>0</v>
      </c>
      <c r="W536" s="91">
        <f t="shared" si="159"/>
        <v>0</v>
      </c>
      <c r="X536" s="91">
        <f t="shared" si="159"/>
        <v>0</v>
      </c>
      <c r="Y536" s="91">
        <f t="shared" si="159"/>
        <v>0</v>
      </c>
      <c r="AQ536" s="3"/>
    </row>
    <row r="537" spans="5:43" x14ac:dyDescent="0.35">
      <c r="E537" s="336"/>
      <c r="F537" s="2" t="s">
        <v>981</v>
      </c>
      <c r="G537" t="s">
        <v>207</v>
      </c>
      <c r="J537" s="91">
        <f>J95</f>
        <v>0</v>
      </c>
      <c r="K537" s="91">
        <f t="shared" ref="K537:Y537" si="160">K95</f>
        <v>0</v>
      </c>
      <c r="L537" s="91">
        <f t="shared" si="160"/>
        <v>1047785.4829509136</v>
      </c>
      <c r="M537" s="91">
        <f t="shared" si="160"/>
        <v>0</v>
      </c>
      <c r="N537" s="91">
        <f t="shared" si="160"/>
        <v>1392705.2220435254</v>
      </c>
      <c r="O537" s="91">
        <f t="shared" si="160"/>
        <v>142726.48518555507</v>
      </c>
      <c r="P537" s="91">
        <f t="shared" si="160"/>
        <v>1122948.8313611895</v>
      </c>
      <c r="Q537" s="91">
        <f t="shared" si="160"/>
        <v>0</v>
      </c>
      <c r="R537" s="91">
        <f t="shared" si="160"/>
        <v>0</v>
      </c>
      <c r="S537" s="91">
        <f t="shared" si="160"/>
        <v>0</v>
      </c>
      <c r="T537" s="91">
        <f t="shared" si="160"/>
        <v>0</v>
      </c>
      <c r="U537" s="91">
        <f t="shared" si="160"/>
        <v>0</v>
      </c>
      <c r="V537" s="91">
        <f t="shared" si="160"/>
        <v>0</v>
      </c>
      <c r="W537" s="91">
        <f t="shared" si="160"/>
        <v>0</v>
      </c>
      <c r="X537" s="91">
        <f t="shared" si="160"/>
        <v>0</v>
      </c>
      <c r="Y537" s="91">
        <f t="shared" si="160"/>
        <v>0</v>
      </c>
      <c r="AQ537" s="3"/>
    </row>
    <row r="538" spans="5:43" x14ac:dyDescent="0.35">
      <c r="E538" s="62" t="s">
        <v>249</v>
      </c>
      <c r="F538" s="2"/>
      <c r="J538" s="22"/>
      <c r="K538" s="22"/>
      <c r="L538" s="22"/>
      <c r="M538" s="22"/>
      <c r="N538" s="22"/>
      <c r="O538" s="22"/>
      <c r="P538" s="22"/>
      <c r="Q538" s="22"/>
      <c r="R538" s="22"/>
      <c r="S538" s="22"/>
      <c r="T538" s="22"/>
      <c r="U538" s="22"/>
      <c r="V538" s="22"/>
      <c r="W538" s="22"/>
      <c r="X538" s="22"/>
      <c r="Y538" s="22"/>
      <c r="AQ538" s="3"/>
    </row>
    <row r="539" spans="5:43" x14ac:dyDescent="0.35">
      <c r="E539" s="336"/>
      <c r="F539" s="2" t="s">
        <v>978</v>
      </c>
      <c r="G539" t="s">
        <v>207</v>
      </c>
      <c r="J539" s="121">
        <f>J60</f>
        <v>0</v>
      </c>
      <c r="K539" s="121">
        <f t="shared" ref="K539:Y539" si="161">K60</f>
        <v>91106.652298625209</v>
      </c>
      <c r="L539" s="121">
        <f t="shared" si="161"/>
        <v>64.19339086764441</v>
      </c>
      <c r="M539" s="121">
        <f t="shared" si="161"/>
        <v>25498.055666371529</v>
      </c>
      <c r="N539" s="121">
        <f t="shared" si="161"/>
        <v>248.8001625162569</v>
      </c>
      <c r="O539" s="121">
        <f t="shared" si="161"/>
        <v>0</v>
      </c>
      <c r="P539" s="121">
        <f t="shared" si="161"/>
        <v>1458.3912124412109</v>
      </c>
      <c r="Q539" s="121">
        <f t="shared" si="161"/>
        <v>0</v>
      </c>
      <c r="R539" s="121">
        <f t="shared" si="161"/>
        <v>790.70799999999986</v>
      </c>
      <c r="S539" s="121">
        <f t="shared" si="161"/>
        <v>24.104999999999997</v>
      </c>
      <c r="T539" s="121">
        <f t="shared" si="161"/>
        <v>8447.357399999999</v>
      </c>
      <c r="U539" s="121">
        <f t="shared" si="161"/>
        <v>0</v>
      </c>
      <c r="V539" s="121">
        <f t="shared" si="161"/>
        <v>0</v>
      </c>
      <c r="W539" s="121">
        <f t="shared" si="161"/>
        <v>0</v>
      </c>
      <c r="X539" s="121">
        <f t="shared" si="161"/>
        <v>252426.65710000001</v>
      </c>
      <c r="Y539" s="121">
        <f t="shared" si="161"/>
        <v>0</v>
      </c>
      <c r="AQ539" s="3"/>
    </row>
    <row r="540" spans="5:43" x14ac:dyDescent="0.35">
      <c r="E540" s="336"/>
      <c r="F540" s="2" t="s">
        <v>979</v>
      </c>
      <c r="G540" t="s">
        <v>207</v>
      </c>
      <c r="J540" s="346">
        <f>J69</f>
        <v>2852910.2070801561</v>
      </c>
      <c r="K540" s="346">
        <f t="shared" ref="K540:Y540" si="162">K69</f>
        <v>0</v>
      </c>
      <c r="L540" s="346">
        <f t="shared" si="162"/>
        <v>76593.54023599191</v>
      </c>
      <c r="M540" s="346">
        <f t="shared" si="162"/>
        <v>0</v>
      </c>
      <c r="N540" s="346">
        <f t="shared" si="162"/>
        <v>294412.75943648262</v>
      </c>
      <c r="O540" s="346">
        <f t="shared" si="162"/>
        <v>381.3072188239953</v>
      </c>
      <c r="P540" s="346">
        <f t="shared" si="162"/>
        <v>89799.930006418159</v>
      </c>
      <c r="Q540" s="346">
        <f t="shared" si="162"/>
        <v>107181.81638894552</v>
      </c>
      <c r="R540" s="346">
        <f t="shared" si="162"/>
        <v>0</v>
      </c>
      <c r="S540" s="346">
        <f t="shared" si="162"/>
        <v>0</v>
      </c>
      <c r="T540" s="346">
        <f t="shared" si="162"/>
        <v>0</v>
      </c>
      <c r="U540" s="346">
        <f t="shared" si="162"/>
        <v>0</v>
      </c>
      <c r="V540" s="346">
        <f t="shared" si="162"/>
        <v>0</v>
      </c>
      <c r="W540" s="346">
        <f t="shared" si="162"/>
        <v>0</v>
      </c>
      <c r="X540" s="346">
        <f t="shared" si="162"/>
        <v>0</v>
      </c>
      <c r="Y540" s="346">
        <f t="shared" si="162"/>
        <v>0</v>
      </c>
      <c r="AQ540" s="3"/>
    </row>
    <row r="541" spans="5:43" x14ac:dyDescent="0.35">
      <c r="E541" s="336"/>
      <c r="F541" s="2" t="s">
        <v>980</v>
      </c>
      <c r="G541" t="s">
        <v>207</v>
      </c>
      <c r="J541" s="346">
        <f>J78</f>
        <v>0</v>
      </c>
      <c r="K541" s="346">
        <f t="shared" ref="K541:Y541" si="163">K78</f>
        <v>0</v>
      </c>
      <c r="L541" s="346">
        <f t="shared" si="163"/>
        <v>159301.91056886845</v>
      </c>
      <c r="M541" s="346">
        <f t="shared" si="163"/>
        <v>0</v>
      </c>
      <c r="N541" s="346">
        <f t="shared" si="163"/>
        <v>289252.58835267532</v>
      </c>
      <c r="O541" s="346">
        <f t="shared" si="163"/>
        <v>4973.367797203834</v>
      </c>
      <c r="P541" s="346">
        <f t="shared" si="163"/>
        <v>338065.5396607694</v>
      </c>
      <c r="Q541" s="346">
        <f t="shared" si="163"/>
        <v>0</v>
      </c>
      <c r="R541" s="346">
        <f t="shared" si="163"/>
        <v>0</v>
      </c>
      <c r="S541" s="346">
        <f t="shared" si="163"/>
        <v>0</v>
      </c>
      <c r="T541" s="346">
        <f t="shared" si="163"/>
        <v>0</v>
      </c>
      <c r="U541" s="346">
        <f t="shared" si="163"/>
        <v>0</v>
      </c>
      <c r="V541" s="346">
        <f t="shared" si="163"/>
        <v>0</v>
      </c>
      <c r="W541" s="346">
        <f t="shared" si="163"/>
        <v>0</v>
      </c>
      <c r="X541" s="346">
        <f t="shared" si="163"/>
        <v>0</v>
      </c>
      <c r="Y541" s="346">
        <f t="shared" si="163"/>
        <v>0</v>
      </c>
      <c r="AQ541" s="3"/>
    </row>
    <row r="542" spans="5:43" x14ac:dyDescent="0.35">
      <c r="E542" s="336"/>
      <c r="F542" s="2" t="s">
        <v>982</v>
      </c>
      <c r="G542" t="s">
        <v>207</v>
      </c>
      <c r="J542" s="91">
        <f>J87</f>
        <v>0</v>
      </c>
      <c r="K542" s="91">
        <f t="shared" ref="K542:Y542" si="164">K87</f>
        <v>0</v>
      </c>
      <c r="L542" s="91">
        <f t="shared" si="164"/>
        <v>183670.85463916484</v>
      </c>
      <c r="M542" s="91">
        <f t="shared" si="164"/>
        <v>0</v>
      </c>
      <c r="N542" s="91">
        <f t="shared" si="164"/>
        <v>233175.34879709611</v>
      </c>
      <c r="O542" s="91">
        <f t="shared" si="164"/>
        <v>7615.6859627002677</v>
      </c>
      <c r="P542" s="91">
        <f t="shared" si="164"/>
        <v>267299.15308486967</v>
      </c>
      <c r="Q542" s="91">
        <f t="shared" si="164"/>
        <v>0</v>
      </c>
      <c r="R542" s="91">
        <f t="shared" si="164"/>
        <v>0</v>
      </c>
      <c r="S542" s="91">
        <f t="shared" si="164"/>
        <v>0</v>
      </c>
      <c r="T542" s="91">
        <f t="shared" si="164"/>
        <v>0</v>
      </c>
      <c r="U542" s="91">
        <f t="shared" si="164"/>
        <v>0</v>
      </c>
      <c r="V542" s="91">
        <f t="shared" si="164"/>
        <v>0</v>
      </c>
      <c r="W542" s="91">
        <f t="shared" si="164"/>
        <v>0</v>
      </c>
      <c r="X542" s="91">
        <f t="shared" si="164"/>
        <v>0</v>
      </c>
      <c r="Y542" s="91">
        <f t="shared" si="164"/>
        <v>0</v>
      </c>
      <c r="AQ542" s="3"/>
    </row>
    <row r="543" spans="5:43" x14ac:dyDescent="0.35">
      <c r="E543" s="336"/>
      <c r="F543" s="2" t="s">
        <v>981</v>
      </c>
      <c r="G543" t="s">
        <v>207</v>
      </c>
      <c r="J543" s="91">
        <f>J96</f>
        <v>0</v>
      </c>
      <c r="K543" s="91">
        <f t="shared" ref="K543:Y543" si="165">K96</f>
        <v>0</v>
      </c>
      <c r="L543" s="91">
        <f t="shared" si="165"/>
        <v>498975.84885255969</v>
      </c>
      <c r="M543" s="91">
        <f t="shared" si="165"/>
        <v>0</v>
      </c>
      <c r="N543" s="91">
        <f t="shared" si="165"/>
        <v>765880.43579886516</v>
      </c>
      <c r="O543" s="91">
        <f t="shared" si="165"/>
        <v>94953.43329773724</v>
      </c>
      <c r="P543" s="91">
        <f t="shared" si="165"/>
        <v>774150.37781542307</v>
      </c>
      <c r="Q543" s="91">
        <f t="shared" si="165"/>
        <v>0</v>
      </c>
      <c r="R543" s="91">
        <f t="shared" si="165"/>
        <v>0</v>
      </c>
      <c r="S543" s="91">
        <f t="shared" si="165"/>
        <v>0</v>
      </c>
      <c r="T543" s="91">
        <f t="shared" si="165"/>
        <v>0</v>
      </c>
      <c r="U543" s="91">
        <f t="shared" si="165"/>
        <v>0</v>
      </c>
      <c r="V543" s="91">
        <f t="shared" si="165"/>
        <v>0</v>
      </c>
      <c r="W543" s="91">
        <f t="shared" si="165"/>
        <v>0</v>
      </c>
      <c r="X543" s="91">
        <f t="shared" si="165"/>
        <v>0</v>
      </c>
      <c r="Y543" s="91">
        <f t="shared" si="165"/>
        <v>0</v>
      </c>
      <c r="AQ543" s="3"/>
    </row>
    <row r="544" spans="5:43" x14ac:dyDescent="0.35">
      <c r="E544" s="62" t="s">
        <v>212</v>
      </c>
      <c r="F544" s="2"/>
      <c r="J544" s="22"/>
      <c r="K544" s="22"/>
      <c r="L544" s="22"/>
      <c r="M544" s="22"/>
      <c r="N544" s="22"/>
      <c r="O544" s="22"/>
      <c r="P544" s="22"/>
      <c r="Q544" s="22"/>
      <c r="R544" s="22"/>
      <c r="S544" s="22"/>
      <c r="T544" s="22"/>
      <c r="U544" s="22"/>
      <c r="V544" s="22"/>
      <c r="W544" s="22"/>
      <c r="X544" s="22"/>
      <c r="Y544" s="22"/>
      <c r="AQ544" s="3"/>
    </row>
    <row r="545" spans="5:43" x14ac:dyDescent="0.35">
      <c r="E545" s="336"/>
      <c r="F545" s="2" t="s">
        <v>978</v>
      </c>
      <c r="G545" t="s">
        <v>212</v>
      </c>
      <c r="J545" s="121">
        <f>J61</f>
        <v>0</v>
      </c>
      <c r="K545" s="121">
        <f t="shared" ref="K545:Y545" si="166">K61</f>
        <v>30229.440258963554</v>
      </c>
      <c r="L545" s="121">
        <f t="shared" si="166"/>
        <v>8.9531769600414037</v>
      </c>
      <c r="M545" s="121">
        <f t="shared" si="166"/>
        <v>4514.9354838709687</v>
      </c>
      <c r="N545" s="121">
        <f t="shared" si="166"/>
        <v>12.122280437371904</v>
      </c>
      <c r="O545" s="121">
        <f t="shared" si="166"/>
        <v>0</v>
      </c>
      <c r="P545" s="121">
        <f t="shared" si="166"/>
        <v>79.23866687372356</v>
      </c>
      <c r="Q545" s="121">
        <f t="shared" si="166"/>
        <v>0</v>
      </c>
      <c r="R545" s="121">
        <f t="shared" si="166"/>
        <v>8349.9354838709678</v>
      </c>
      <c r="S545" s="121">
        <f t="shared" si="166"/>
        <v>39</v>
      </c>
      <c r="T545" s="121">
        <f t="shared" si="166"/>
        <v>838.90322580645136</v>
      </c>
      <c r="U545" s="121">
        <f t="shared" si="166"/>
        <v>0</v>
      </c>
      <c r="V545" s="121">
        <f t="shared" si="166"/>
        <v>1</v>
      </c>
      <c r="W545" s="121">
        <f t="shared" si="166"/>
        <v>0</v>
      </c>
      <c r="X545" s="121">
        <f t="shared" si="166"/>
        <v>234.29032258064521</v>
      </c>
      <c r="Y545" s="121">
        <f t="shared" si="166"/>
        <v>0</v>
      </c>
      <c r="AQ545" s="3"/>
    </row>
    <row r="546" spans="5:43" x14ac:dyDescent="0.35">
      <c r="E546" s="336"/>
      <c r="F546" s="2" t="s">
        <v>979</v>
      </c>
      <c r="G546" t="s">
        <v>212</v>
      </c>
      <c r="J546" s="346">
        <f>J70</f>
        <v>2883067.3258877532</v>
      </c>
      <c r="K546" s="346">
        <f t="shared" ref="K546:Y546" si="167">K70</f>
        <v>0</v>
      </c>
      <c r="L546" s="346">
        <f t="shared" si="167"/>
        <v>89867.465601055635</v>
      </c>
      <c r="M546" s="346">
        <f t="shared" si="167"/>
        <v>0</v>
      </c>
      <c r="N546" s="346">
        <f t="shared" si="167"/>
        <v>10302.456027690891</v>
      </c>
      <c r="O546" s="346">
        <f t="shared" si="167"/>
        <v>5</v>
      </c>
      <c r="P546" s="346">
        <f t="shared" si="167"/>
        <v>478.83071857148411</v>
      </c>
      <c r="Q546" s="346">
        <f t="shared" si="167"/>
        <v>3978.3387096774172</v>
      </c>
      <c r="R546" s="346">
        <f t="shared" si="167"/>
        <v>0</v>
      </c>
      <c r="S546" s="346">
        <f t="shared" si="167"/>
        <v>0</v>
      </c>
      <c r="T546" s="346">
        <f t="shared" si="167"/>
        <v>0</v>
      </c>
      <c r="U546" s="346">
        <f t="shared" si="167"/>
        <v>0</v>
      </c>
      <c r="V546" s="346">
        <f t="shared" si="167"/>
        <v>0</v>
      </c>
      <c r="W546" s="346">
        <f t="shared" si="167"/>
        <v>0</v>
      </c>
      <c r="X546" s="346">
        <f t="shared" si="167"/>
        <v>0</v>
      </c>
      <c r="Y546" s="346">
        <f t="shared" si="167"/>
        <v>0</v>
      </c>
      <c r="AQ546" s="3"/>
    </row>
    <row r="547" spans="5:43" x14ac:dyDescent="0.35">
      <c r="E547" s="336"/>
      <c r="F547" s="2" t="s">
        <v>980</v>
      </c>
      <c r="G547" t="s">
        <v>212</v>
      </c>
      <c r="J547" s="346">
        <f>J79</f>
        <v>0</v>
      </c>
      <c r="K547" s="346">
        <f t="shared" ref="K547:Y547" si="168">K79</f>
        <v>0</v>
      </c>
      <c r="L547" s="346">
        <f t="shared" si="168"/>
        <v>68282.350747835793</v>
      </c>
      <c r="M547" s="346">
        <f t="shared" si="168"/>
        <v>0</v>
      </c>
      <c r="N547" s="346">
        <f t="shared" si="168"/>
        <v>5922.1292854095691</v>
      </c>
      <c r="O547" s="346">
        <f t="shared" si="168"/>
        <v>43.935483870967744</v>
      </c>
      <c r="P547" s="346">
        <f t="shared" si="168"/>
        <v>692.49674799691286</v>
      </c>
      <c r="Q547" s="346">
        <f t="shared" si="168"/>
        <v>0</v>
      </c>
      <c r="R547" s="346">
        <f t="shared" si="168"/>
        <v>0</v>
      </c>
      <c r="S547" s="346">
        <f t="shared" si="168"/>
        <v>0</v>
      </c>
      <c r="T547" s="346">
        <f t="shared" si="168"/>
        <v>0</v>
      </c>
      <c r="U547" s="346">
        <f t="shared" si="168"/>
        <v>0</v>
      </c>
      <c r="V547" s="346">
        <f t="shared" si="168"/>
        <v>0</v>
      </c>
      <c r="W547" s="346">
        <f t="shared" si="168"/>
        <v>0</v>
      </c>
      <c r="X547" s="346">
        <f t="shared" si="168"/>
        <v>0</v>
      </c>
      <c r="Y547" s="346">
        <f t="shared" si="168"/>
        <v>0</v>
      </c>
      <c r="AQ547" s="3"/>
    </row>
    <row r="548" spans="5:43" x14ac:dyDescent="0.35">
      <c r="E548" s="336"/>
      <c r="F548" s="2" t="s">
        <v>982</v>
      </c>
      <c r="G548" t="s">
        <v>212</v>
      </c>
      <c r="J548" s="91">
        <f>J88</f>
        <v>0</v>
      </c>
      <c r="K548" s="91">
        <f t="shared" ref="K548:Y548" si="169">K88</f>
        <v>0</v>
      </c>
      <c r="L548" s="91">
        <f t="shared" si="169"/>
        <v>35175.556124962684</v>
      </c>
      <c r="M548" s="91">
        <f t="shared" si="169"/>
        <v>0</v>
      </c>
      <c r="N548" s="91">
        <f t="shared" si="169"/>
        <v>2820.8678341682225</v>
      </c>
      <c r="O548" s="91">
        <f t="shared" si="169"/>
        <v>51.967741935483893</v>
      </c>
      <c r="P548" s="91">
        <f t="shared" si="169"/>
        <v>278.04744626032908</v>
      </c>
      <c r="Q548" s="91">
        <f t="shared" si="169"/>
        <v>0</v>
      </c>
      <c r="R548" s="91">
        <f t="shared" si="169"/>
        <v>0</v>
      </c>
      <c r="S548" s="91">
        <f t="shared" si="169"/>
        <v>0</v>
      </c>
      <c r="T548" s="91">
        <f t="shared" si="169"/>
        <v>0</v>
      </c>
      <c r="U548" s="91">
        <f t="shared" si="169"/>
        <v>0</v>
      </c>
      <c r="V548" s="91">
        <f t="shared" si="169"/>
        <v>0</v>
      </c>
      <c r="W548" s="91">
        <f t="shared" si="169"/>
        <v>0</v>
      </c>
      <c r="X548" s="91">
        <f t="shared" si="169"/>
        <v>0</v>
      </c>
      <c r="Y548" s="91">
        <f t="shared" si="169"/>
        <v>0</v>
      </c>
      <c r="AQ548" s="3"/>
    </row>
    <row r="549" spans="5:43" x14ac:dyDescent="0.35">
      <c r="E549" s="336"/>
      <c r="F549" s="2" t="s">
        <v>981</v>
      </c>
      <c r="G549" t="s">
        <v>212</v>
      </c>
      <c r="J549" s="91">
        <f>J97</f>
        <v>0</v>
      </c>
      <c r="K549" s="91">
        <f t="shared" ref="K549:Y549" si="170">K97</f>
        <v>0</v>
      </c>
      <c r="L549" s="91">
        <f t="shared" si="170"/>
        <v>34146.197496477944</v>
      </c>
      <c r="M549" s="91">
        <f t="shared" si="170"/>
        <v>0</v>
      </c>
      <c r="N549" s="91">
        <f t="shared" si="170"/>
        <v>3835.779411003623</v>
      </c>
      <c r="O549" s="91">
        <f t="shared" si="170"/>
        <v>198.54838709677418</v>
      </c>
      <c r="P549" s="91">
        <f t="shared" si="170"/>
        <v>313.32936901047566</v>
      </c>
      <c r="Q549" s="91">
        <f t="shared" si="170"/>
        <v>0</v>
      </c>
      <c r="R549" s="91">
        <f t="shared" si="170"/>
        <v>0</v>
      </c>
      <c r="S549" s="91">
        <f t="shared" si="170"/>
        <v>0</v>
      </c>
      <c r="T549" s="91">
        <f t="shared" si="170"/>
        <v>0</v>
      </c>
      <c r="U549" s="91">
        <f t="shared" si="170"/>
        <v>0</v>
      </c>
      <c r="V549" s="91">
        <f t="shared" si="170"/>
        <v>0</v>
      </c>
      <c r="W549" s="91">
        <f t="shared" si="170"/>
        <v>0</v>
      </c>
      <c r="X549" s="91">
        <f t="shared" si="170"/>
        <v>0</v>
      </c>
      <c r="Y549" s="91">
        <f t="shared" si="170"/>
        <v>0</v>
      </c>
      <c r="AQ549" s="3"/>
    </row>
    <row r="550" spans="5:43" x14ac:dyDescent="0.35">
      <c r="E550" s="62" t="s">
        <v>250</v>
      </c>
      <c r="F550" s="2"/>
      <c r="J550" s="22"/>
      <c r="K550" s="22"/>
      <c r="L550" s="22"/>
      <c r="M550" s="22"/>
      <c r="N550" s="22"/>
      <c r="O550" s="22"/>
      <c r="P550" s="22"/>
      <c r="Q550" s="22"/>
      <c r="R550" s="22"/>
      <c r="S550" s="22"/>
      <c r="T550" s="22"/>
      <c r="U550" s="22"/>
      <c r="V550" s="22"/>
      <c r="W550" s="22"/>
      <c r="X550" s="22"/>
      <c r="Y550" s="22"/>
      <c r="AQ550" s="3"/>
    </row>
    <row r="551" spans="5:43" x14ac:dyDescent="0.35">
      <c r="E551" s="336"/>
      <c r="F551" s="2" t="s">
        <v>978</v>
      </c>
      <c r="G551" t="s">
        <v>251</v>
      </c>
      <c r="J551" s="121">
        <f>J62</f>
        <v>0</v>
      </c>
      <c r="K551" s="121">
        <f t="shared" ref="K551:Y551" si="171">K62</f>
        <v>0</v>
      </c>
      <c r="L551" s="121">
        <f t="shared" si="171"/>
        <v>0</v>
      </c>
      <c r="M551" s="121">
        <f t="shared" si="171"/>
        <v>0</v>
      </c>
      <c r="N551" s="121">
        <f t="shared" si="171"/>
        <v>541.06652698643586</v>
      </c>
      <c r="O551" s="121">
        <f t="shared" si="171"/>
        <v>0</v>
      </c>
      <c r="P551" s="121">
        <f t="shared" si="171"/>
        <v>1942.3147725069314</v>
      </c>
      <c r="Q551" s="121">
        <f t="shared" si="171"/>
        <v>0</v>
      </c>
      <c r="R551" s="121">
        <f t="shared" si="171"/>
        <v>0</v>
      </c>
      <c r="S551" s="121">
        <f t="shared" si="171"/>
        <v>0</v>
      </c>
      <c r="T551" s="121">
        <f t="shared" si="171"/>
        <v>0</v>
      </c>
      <c r="U551" s="121">
        <f t="shared" si="171"/>
        <v>0</v>
      </c>
      <c r="V551" s="121">
        <f t="shared" si="171"/>
        <v>0</v>
      </c>
      <c r="W551" s="121">
        <f t="shared" si="171"/>
        <v>0</v>
      </c>
      <c r="X551" s="121">
        <f t="shared" si="171"/>
        <v>0</v>
      </c>
      <c r="Y551" s="121">
        <f t="shared" si="171"/>
        <v>0</v>
      </c>
      <c r="AQ551" s="3"/>
    </row>
    <row r="552" spans="5:43" x14ac:dyDescent="0.35">
      <c r="E552" s="336"/>
      <c r="F552" s="2" t="s">
        <v>979</v>
      </c>
      <c r="G552" t="s">
        <v>251</v>
      </c>
      <c r="J552" s="346">
        <f>J71</f>
        <v>0</v>
      </c>
      <c r="K552" s="346">
        <f t="shared" ref="K552:Y552" si="172">K71</f>
        <v>0</v>
      </c>
      <c r="L552" s="346">
        <f t="shared" si="172"/>
        <v>0</v>
      </c>
      <c r="M552" s="346">
        <f t="shared" si="172"/>
        <v>0</v>
      </c>
      <c r="N552" s="346">
        <f t="shared" si="172"/>
        <v>640260.39065943938</v>
      </c>
      <c r="O552" s="346">
        <f t="shared" si="172"/>
        <v>457.61497359160671</v>
      </c>
      <c r="P552" s="346">
        <f t="shared" si="172"/>
        <v>119597.35435431766</v>
      </c>
      <c r="Q552" s="346">
        <f t="shared" si="172"/>
        <v>0</v>
      </c>
      <c r="R552" s="346">
        <f t="shared" si="172"/>
        <v>0</v>
      </c>
      <c r="S552" s="346">
        <f t="shared" si="172"/>
        <v>0</v>
      </c>
      <c r="T552" s="346">
        <f t="shared" si="172"/>
        <v>0</v>
      </c>
      <c r="U552" s="346">
        <f t="shared" si="172"/>
        <v>0</v>
      </c>
      <c r="V552" s="346">
        <f t="shared" si="172"/>
        <v>0</v>
      </c>
      <c r="W552" s="346">
        <f t="shared" si="172"/>
        <v>0</v>
      </c>
      <c r="X552" s="346">
        <f t="shared" si="172"/>
        <v>0</v>
      </c>
      <c r="Y552" s="346">
        <f t="shared" si="172"/>
        <v>0</v>
      </c>
      <c r="AQ552" s="3"/>
    </row>
    <row r="553" spans="5:43" x14ac:dyDescent="0.35">
      <c r="E553" s="336"/>
      <c r="F553" s="2" t="s">
        <v>980</v>
      </c>
      <c r="G553" t="s">
        <v>251</v>
      </c>
      <c r="J553" s="346">
        <f>J80</f>
        <v>0</v>
      </c>
      <c r="K553" s="346">
        <f t="shared" ref="K553:Y553" si="173">K80</f>
        <v>0</v>
      </c>
      <c r="L553" s="346">
        <f t="shared" si="173"/>
        <v>0</v>
      </c>
      <c r="M553" s="346">
        <f t="shared" si="173"/>
        <v>0</v>
      </c>
      <c r="N553" s="346">
        <f t="shared" si="173"/>
        <v>629038.54973001871</v>
      </c>
      <c r="O553" s="346">
        <f t="shared" si="173"/>
        <v>5968.6453883509857</v>
      </c>
      <c r="P553" s="346">
        <f t="shared" si="173"/>
        <v>450242.49059996969</v>
      </c>
      <c r="Q553" s="346">
        <f t="shared" si="173"/>
        <v>0</v>
      </c>
      <c r="R553" s="346">
        <f t="shared" si="173"/>
        <v>0</v>
      </c>
      <c r="S553" s="346">
        <f t="shared" si="173"/>
        <v>0</v>
      </c>
      <c r="T553" s="346">
        <f t="shared" si="173"/>
        <v>0</v>
      </c>
      <c r="U553" s="346">
        <f t="shared" si="173"/>
        <v>0</v>
      </c>
      <c r="V553" s="346">
        <f t="shared" si="173"/>
        <v>0</v>
      </c>
      <c r="W553" s="346">
        <f t="shared" si="173"/>
        <v>0</v>
      </c>
      <c r="X553" s="346">
        <f t="shared" si="173"/>
        <v>0</v>
      </c>
      <c r="Y553" s="346">
        <f t="shared" si="173"/>
        <v>0</v>
      </c>
      <c r="AQ553" s="3"/>
    </row>
    <row r="554" spans="5:43" x14ac:dyDescent="0.35">
      <c r="E554" s="336"/>
      <c r="F554" s="2" t="s">
        <v>982</v>
      </c>
      <c r="G554" t="s">
        <v>251</v>
      </c>
      <c r="J554" s="91">
        <f>J89</f>
        <v>0</v>
      </c>
      <c r="K554" s="91">
        <f t="shared" ref="K554:Y554" si="174">K89</f>
        <v>0</v>
      </c>
      <c r="L554" s="91">
        <f t="shared" si="174"/>
        <v>0</v>
      </c>
      <c r="M554" s="91">
        <f t="shared" si="174"/>
        <v>0</v>
      </c>
      <c r="N554" s="91">
        <f t="shared" si="174"/>
        <v>507087.19349912775</v>
      </c>
      <c r="O554" s="91">
        <f t="shared" si="174"/>
        <v>9139.7481050881743</v>
      </c>
      <c r="P554" s="91">
        <f t="shared" si="174"/>
        <v>355994.39251027623</v>
      </c>
      <c r="Q554" s="91">
        <f t="shared" si="174"/>
        <v>0</v>
      </c>
      <c r="R554" s="91">
        <f t="shared" si="174"/>
        <v>0</v>
      </c>
      <c r="S554" s="91">
        <f t="shared" si="174"/>
        <v>0</v>
      </c>
      <c r="T554" s="91">
        <f t="shared" si="174"/>
        <v>0</v>
      </c>
      <c r="U554" s="91">
        <f t="shared" si="174"/>
        <v>0</v>
      </c>
      <c r="V554" s="91">
        <f t="shared" si="174"/>
        <v>0</v>
      </c>
      <c r="W554" s="91">
        <f t="shared" si="174"/>
        <v>0</v>
      </c>
      <c r="X554" s="91">
        <f t="shared" si="174"/>
        <v>0</v>
      </c>
      <c r="Y554" s="91">
        <f t="shared" si="174"/>
        <v>0</v>
      </c>
      <c r="AQ554" s="3"/>
    </row>
    <row r="555" spans="5:43" x14ac:dyDescent="0.35">
      <c r="E555" s="336"/>
      <c r="F555" s="2" t="s">
        <v>981</v>
      </c>
      <c r="G555" t="s">
        <v>251</v>
      </c>
      <c r="J555" s="91">
        <f>J98</f>
        <v>0</v>
      </c>
      <c r="K555" s="91">
        <f t="shared" ref="K555:Y555" si="175">K98</f>
        <v>0</v>
      </c>
      <c r="L555" s="91">
        <f t="shared" si="175"/>
        <v>0</v>
      </c>
      <c r="M555" s="91">
        <f t="shared" si="175"/>
        <v>0</v>
      </c>
      <c r="N555" s="91">
        <f t="shared" si="175"/>
        <v>1665562.6881171069</v>
      </c>
      <c r="O555" s="91">
        <f t="shared" si="175"/>
        <v>113955.65236081497</v>
      </c>
      <c r="P555" s="91">
        <f t="shared" si="175"/>
        <v>1031029.055952524</v>
      </c>
      <c r="Q555" s="91">
        <f t="shared" si="175"/>
        <v>0</v>
      </c>
      <c r="R555" s="91">
        <f t="shared" si="175"/>
        <v>0</v>
      </c>
      <c r="S555" s="91">
        <f t="shared" si="175"/>
        <v>0</v>
      </c>
      <c r="T555" s="91">
        <f t="shared" si="175"/>
        <v>0</v>
      </c>
      <c r="U555" s="91">
        <f t="shared" si="175"/>
        <v>0</v>
      </c>
      <c r="V555" s="91">
        <f t="shared" si="175"/>
        <v>0</v>
      </c>
      <c r="W555" s="91">
        <f t="shared" si="175"/>
        <v>0</v>
      </c>
      <c r="X555" s="91">
        <f t="shared" si="175"/>
        <v>0</v>
      </c>
      <c r="Y555" s="91">
        <f t="shared" si="175"/>
        <v>0</v>
      </c>
      <c r="AQ555" s="3"/>
    </row>
    <row r="556" spans="5:43" x14ac:dyDescent="0.35">
      <c r="E556" s="62" t="s">
        <v>252</v>
      </c>
      <c r="F556" s="2"/>
      <c r="J556" s="22"/>
      <c r="K556" s="22"/>
      <c r="L556" s="22"/>
      <c r="M556" s="22"/>
      <c r="N556" s="22"/>
      <c r="O556" s="22"/>
      <c r="P556" s="22"/>
      <c r="Q556" s="22"/>
      <c r="R556" s="22"/>
      <c r="S556" s="22"/>
      <c r="T556" s="22"/>
      <c r="U556" s="22"/>
      <c r="V556" s="22"/>
      <c r="W556" s="22"/>
      <c r="X556" s="22"/>
      <c r="Y556" s="22"/>
      <c r="AQ556" s="3"/>
    </row>
    <row r="557" spans="5:43" x14ac:dyDescent="0.35">
      <c r="E557" s="336"/>
      <c r="F557" s="2" t="s">
        <v>978</v>
      </c>
      <c r="G557" t="s">
        <v>251</v>
      </c>
      <c r="J557" s="121">
        <f>J63</f>
        <v>0</v>
      </c>
      <c r="K557" s="121">
        <f t="shared" ref="K557:Y557" si="176">K63</f>
        <v>0</v>
      </c>
      <c r="L557" s="121">
        <f t="shared" si="176"/>
        <v>0</v>
      </c>
      <c r="M557" s="121">
        <f t="shared" si="176"/>
        <v>0</v>
      </c>
      <c r="N557" s="121">
        <f t="shared" si="176"/>
        <v>8.8396001529576367</v>
      </c>
      <c r="O557" s="121">
        <f t="shared" si="176"/>
        <v>0</v>
      </c>
      <c r="P557" s="121">
        <f t="shared" si="176"/>
        <v>40.020366637641082</v>
      </c>
      <c r="Q557" s="121">
        <f t="shared" si="176"/>
        <v>0</v>
      </c>
      <c r="R557" s="121">
        <f t="shared" si="176"/>
        <v>0</v>
      </c>
      <c r="S557" s="121">
        <f t="shared" si="176"/>
        <v>0</v>
      </c>
      <c r="T557" s="121">
        <f t="shared" si="176"/>
        <v>0</v>
      </c>
      <c r="U557" s="121">
        <f t="shared" si="176"/>
        <v>0</v>
      </c>
      <c r="V557" s="121">
        <f t="shared" si="176"/>
        <v>0</v>
      </c>
      <c r="W557" s="121">
        <f t="shared" si="176"/>
        <v>0</v>
      </c>
      <c r="X557" s="121">
        <f t="shared" si="176"/>
        <v>0</v>
      </c>
      <c r="Y557" s="121">
        <f t="shared" si="176"/>
        <v>0</v>
      </c>
      <c r="AQ557" s="3"/>
    </row>
    <row r="558" spans="5:43" x14ac:dyDescent="0.35">
      <c r="E558" s="336"/>
      <c r="F558" s="2" t="s">
        <v>979</v>
      </c>
      <c r="G558" t="s">
        <v>251</v>
      </c>
      <c r="J558" s="346">
        <f>J72</f>
        <v>0</v>
      </c>
      <c r="K558" s="346">
        <f t="shared" ref="K558:Y558" si="177">K72</f>
        <v>0</v>
      </c>
      <c r="L558" s="346">
        <f t="shared" si="177"/>
        <v>0</v>
      </c>
      <c r="M558" s="346">
        <f t="shared" si="177"/>
        <v>0</v>
      </c>
      <c r="N558" s="346">
        <f t="shared" si="177"/>
        <v>10460.166291802007</v>
      </c>
      <c r="O558" s="346">
        <f t="shared" si="177"/>
        <v>2.4188773321338299</v>
      </c>
      <c r="P558" s="346">
        <f t="shared" si="177"/>
        <v>2464.2401107694777</v>
      </c>
      <c r="Q558" s="346">
        <f t="shared" si="177"/>
        <v>0</v>
      </c>
      <c r="R558" s="346">
        <f t="shared" si="177"/>
        <v>0</v>
      </c>
      <c r="S558" s="346">
        <f t="shared" si="177"/>
        <v>0</v>
      </c>
      <c r="T558" s="346">
        <f t="shared" si="177"/>
        <v>0</v>
      </c>
      <c r="U558" s="346">
        <f t="shared" si="177"/>
        <v>0</v>
      </c>
      <c r="V558" s="346">
        <f t="shared" si="177"/>
        <v>0</v>
      </c>
      <c r="W558" s="346">
        <f t="shared" si="177"/>
        <v>0</v>
      </c>
      <c r="X558" s="346">
        <f t="shared" si="177"/>
        <v>0</v>
      </c>
      <c r="Y558" s="346">
        <f t="shared" si="177"/>
        <v>0</v>
      </c>
      <c r="AQ558" s="3"/>
    </row>
    <row r="559" spans="5:43" x14ac:dyDescent="0.35">
      <c r="E559" s="336"/>
      <c r="F559" s="2" t="s">
        <v>980</v>
      </c>
      <c r="G559" t="s">
        <v>251</v>
      </c>
      <c r="J559" s="346">
        <f>J81</f>
        <v>0</v>
      </c>
      <c r="K559" s="346">
        <f t="shared" ref="K559:Y559" si="178">K81</f>
        <v>0</v>
      </c>
      <c r="L559" s="346">
        <f t="shared" si="178"/>
        <v>0</v>
      </c>
      <c r="M559" s="346">
        <f t="shared" si="178"/>
        <v>0</v>
      </c>
      <c r="N559" s="346">
        <f t="shared" si="178"/>
        <v>10276.83100519933</v>
      </c>
      <c r="O559" s="346">
        <f t="shared" si="178"/>
        <v>31.549275846711769</v>
      </c>
      <c r="P559" s="346">
        <f t="shared" si="178"/>
        <v>9277.0079313141578</v>
      </c>
      <c r="Q559" s="346">
        <f t="shared" si="178"/>
        <v>0</v>
      </c>
      <c r="R559" s="346">
        <f t="shared" si="178"/>
        <v>0</v>
      </c>
      <c r="S559" s="346">
        <f t="shared" si="178"/>
        <v>0</v>
      </c>
      <c r="T559" s="346">
        <f t="shared" si="178"/>
        <v>0</v>
      </c>
      <c r="U559" s="346">
        <f t="shared" si="178"/>
        <v>0</v>
      </c>
      <c r="V559" s="346">
        <f t="shared" si="178"/>
        <v>0</v>
      </c>
      <c r="W559" s="346">
        <f t="shared" si="178"/>
        <v>0</v>
      </c>
      <c r="X559" s="346">
        <f t="shared" si="178"/>
        <v>0</v>
      </c>
      <c r="Y559" s="346">
        <f t="shared" si="178"/>
        <v>0</v>
      </c>
      <c r="AQ559" s="3"/>
    </row>
    <row r="560" spans="5:43" x14ac:dyDescent="0.35">
      <c r="E560" s="336"/>
      <c r="F560" s="2" t="s">
        <v>982</v>
      </c>
      <c r="G560" t="s">
        <v>251</v>
      </c>
      <c r="J560" s="91">
        <f>J90</f>
        <v>0</v>
      </c>
      <c r="K560" s="91">
        <f t="shared" ref="K560:Y560" si="179">K90</f>
        <v>0</v>
      </c>
      <c r="L560" s="91">
        <f t="shared" si="179"/>
        <v>0</v>
      </c>
      <c r="M560" s="91">
        <f t="shared" si="179"/>
        <v>0</v>
      </c>
      <c r="N560" s="91">
        <f t="shared" si="179"/>
        <v>8284.4674539072348</v>
      </c>
      <c r="O560" s="91">
        <f t="shared" si="179"/>
        <v>48.311202186624435</v>
      </c>
      <c r="P560" s="91">
        <f t="shared" si="179"/>
        <v>7335.0758130810245</v>
      </c>
      <c r="Q560" s="91">
        <f t="shared" si="179"/>
        <v>0</v>
      </c>
      <c r="R560" s="91">
        <f t="shared" si="179"/>
        <v>0</v>
      </c>
      <c r="S560" s="91">
        <f t="shared" si="179"/>
        <v>0</v>
      </c>
      <c r="T560" s="91">
        <f t="shared" si="179"/>
        <v>0</v>
      </c>
      <c r="U560" s="91">
        <f t="shared" si="179"/>
        <v>0</v>
      </c>
      <c r="V560" s="91">
        <f t="shared" si="179"/>
        <v>0</v>
      </c>
      <c r="W560" s="91">
        <f t="shared" si="179"/>
        <v>0</v>
      </c>
      <c r="X560" s="91">
        <f t="shared" si="179"/>
        <v>0</v>
      </c>
      <c r="Y560" s="91">
        <f t="shared" si="179"/>
        <v>0</v>
      </c>
      <c r="AQ560" s="3"/>
    </row>
    <row r="561" spans="4:43" x14ac:dyDescent="0.35">
      <c r="E561" s="336"/>
      <c r="F561" s="2" t="s">
        <v>981</v>
      </c>
      <c r="G561" t="s">
        <v>251</v>
      </c>
      <c r="J561" s="91">
        <f>J99</f>
        <v>0</v>
      </c>
      <c r="K561" s="91">
        <f t="shared" ref="K561:Y561" si="180">K99</f>
        <v>0</v>
      </c>
      <c r="L561" s="91">
        <f t="shared" si="180"/>
        <v>0</v>
      </c>
      <c r="M561" s="91">
        <f t="shared" si="180"/>
        <v>0</v>
      </c>
      <c r="N561" s="91">
        <f t="shared" si="180"/>
        <v>27210.901910052191</v>
      </c>
      <c r="O561" s="91">
        <f t="shared" si="180"/>
        <v>602.3507976600747</v>
      </c>
      <c r="P561" s="91">
        <f t="shared" si="180"/>
        <v>21243.807346439633</v>
      </c>
      <c r="Q561" s="91">
        <f t="shared" si="180"/>
        <v>0</v>
      </c>
      <c r="R561" s="91">
        <f t="shared" si="180"/>
        <v>0</v>
      </c>
      <c r="S561" s="91">
        <f t="shared" si="180"/>
        <v>0</v>
      </c>
      <c r="T561" s="91">
        <f t="shared" si="180"/>
        <v>0</v>
      </c>
      <c r="U561" s="91">
        <f t="shared" si="180"/>
        <v>0</v>
      </c>
      <c r="V561" s="91">
        <f t="shared" si="180"/>
        <v>0</v>
      </c>
      <c r="W561" s="91">
        <f t="shared" si="180"/>
        <v>0</v>
      </c>
      <c r="X561" s="91">
        <f t="shared" si="180"/>
        <v>0</v>
      </c>
      <c r="Y561" s="91">
        <f t="shared" si="180"/>
        <v>0</v>
      </c>
      <c r="AQ561" s="3"/>
    </row>
    <row r="562" spans="4:43" x14ac:dyDescent="0.35">
      <c r="E562" s="336" t="s">
        <v>253</v>
      </c>
      <c r="F562" s="2"/>
      <c r="J562" s="22"/>
      <c r="K562" s="22"/>
      <c r="L562" s="22"/>
      <c r="M562" s="22"/>
      <c r="N562" s="22"/>
      <c r="O562" s="22"/>
      <c r="P562" s="22"/>
      <c r="Q562" s="22"/>
      <c r="R562" s="22"/>
      <c r="S562" s="22"/>
      <c r="T562" s="22"/>
      <c r="U562" s="22"/>
      <c r="V562" s="22"/>
      <c r="W562" s="22"/>
      <c r="X562" s="22"/>
      <c r="Y562" s="22"/>
      <c r="AQ562" s="3"/>
    </row>
    <row r="563" spans="4:43" x14ac:dyDescent="0.35">
      <c r="E563" s="336"/>
      <c r="F563" s="2" t="s">
        <v>978</v>
      </c>
      <c r="G563" t="s">
        <v>254</v>
      </c>
      <c r="J563" s="121">
        <f>J64</f>
        <v>0</v>
      </c>
      <c r="K563" s="121">
        <f t="shared" ref="K563:Y563" si="181">K64</f>
        <v>0</v>
      </c>
      <c r="L563" s="121">
        <f t="shared" si="181"/>
        <v>0</v>
      </c>
      <c r="M563" s="121">
        <f t="shared" si="181"/>
        <v>0</v>
      </c>
      <c r="N563" s="121">
        <f t="shared" si="181"/>
        <v>58.995876213502676</v>
      </c>
      <c r="O563" s="121">
        <f t="shared" si="181"/>
        <v>0</v>
      </c>
      <c r="P563" s="121">
        <f t="shared" si="181"/>
        <v>274.59031949823634</v>
      </c>
      <c r="Q563" s="121">
        <f t="shared" si="181"/>
        <v>0</v>
      </c>
      <c r="R563" s="121">
        <f t="shared" si="181"/>
        <v>0</v>
      </c>
      <c r="S563" s="121">
        <f t="shared" si="181"/>
        <v>0</v>
      </c>
      <c r="T563" s="121">
        <f t="shared" si="181"/>
        <v>6749.0700869110524</v>
      </c>
      <c r="U563" s="121">
        <f t="shared" si="181"/>
        <v>0</v>
      </c>
      <c r="V563" s="121">
        <f t="shared" si="181"/>
        <v>0</v>
      </c>
      <c r="W563" s="121">
        <f t="shared" si="181"/>
        <v>0</v>
      </c>
      <c r="X563" s="121">
        <f t="shared" si="181"/>
        <v>37191.039110646561</v>
      </c>
      <c r="Y563" s="121">
        <f t="shared" si="181"/>
        <v>0</v>
      </c>
      <c r="AQ563" s="3"/>
    </row>
    <row r="564" spans="4:43" x14ac:dyDescent="0.35">
      <c r="E564" s="336"/>
      <c r="F564" s="2" t="s">
        <v>979</v>
      </c>
      <c r="G564" t="s">
        <v>254</v>
      </c>
      <c r="J564" s="346">
        <f>J73</f>
        <v>0</v>
      </c>
      <c r="K564" s="346">
        <f t="shared" ref="K564:Y564" si="182">K73</f>
        <v>0</v>
      </c>
      <c r="L564" s="346">
        <f t="shared" si="182"/>
        <v>0</v>
      </c>
      <c r="M564" s="346">
        <f t="shared" si="182"/>
        <v>0</v>
      </c>
      <c r="N564" s="346">
        <f t="shared" si="182"/>
        <v>69811.605168286609</v>
      </c>
      <c r="O564" s="346">
        <f t="shared" si="182"/>
        <v>80.334257737303417</v>
      </c>
      <c r="P564" s="346">
        <f t="shared" si="182"/>
        <v>16907.803105934869</v>
      </c>
      <c r="Q564" s="346">
        <f t="shared" si="182"/>
        <v>0</v>
      </c>
      <c r="R564" s="346">
        <f t="shared" si="182"/>
        <v>0</v>
      </c>
      <c r="S564" s="346">
        <f t="shared" si="182"/>
        <v>0</v>
      </c>
      <c r="T564" s="346">
        <f t="shared" si="182"/>
        <v>0</v>
      </c>
      <c r="U564" s="346">
        <f t="shared" si="182"/>
        <v>0</v>
      </c>
      <c r="V564" s="346">
        <f t="shared" si="182"/>
        <v>0</v>
      </c>
      <c r="W564" s="346">
        <f t="shared" si="182"/>
        <v>0</v>
      </c>
      <c r="X564" s="346">
        <f t="shared" si="182"/>
        <v>0</v>
      </c>
      <c r="Y564" s="346">
        <f t="shared" si="182"/>
        <v>0</v>
      </c>
      <c r="AQ564" s="3"/>
    </row>
    <row r="565" spans="4:43" x14ac:dyDescent="0.35">
      <c r="E565" s="336"/>
      <c r="F565" s="2" t="s">
        <v>980</v>
      </c>
      <c r="G565" t="s">
        <v>254</v>
      </c>
      <c r="J565" s="346">
        <f>J82</f>
        <v>0</v>
      </c>
      <c r="K565" s="346">
        <f t="shared" ref="K565:Y565" si="183">K82</f>
        <v>0</v>
      </c>
      <c r="L565" s="346">
        <f t="shared" si="183"/>
        <v>0</v>
      </c>
      <c r="M565" s="346">
        <f t="shared" si="183"/>
        <v>0</v>
      </c>
      <c r="N565" s="346">
        <f t="shared" si="183"/>
        <v>68588.017484814336</v>
      </c>
      <c r="O565" s="346">
        <f t="shared" si="183"/>
        <v>1047.7950343431464</v>
      </c>
      <c r="P565" s="346">
        <f t="shared" si="183"/>
        <v>63652.004863226233</v>
      </c>
      <c r="Q565" s="346">
        <f t="shared" si="183"/>
        <v>0</v>
      </c>
      <c r="R565" s="346">
        <f t="shared" si="183"/>
        <v>0</v>
      </c>
      <c r="S565" s="346">
        <f t="shared" si="183"/>
        <v>0</v>
      </c>
      <c r="T565" s="346">
        <f t="shared" si="183"/>
        <v>0</v>
      </c>
      <c r="U565" s="346">
        <f t="shared" si="183"/>
        <v>0</v>
      </c>
      <c r="V565" s="346">
        <f t="shared" si="183"/>
        <v>0</v>
      </c>
      <c r="W565" s="346">
        <f t="shared" si="183"/>
        <v>0</v>
      </c>
      <c r="X565" s="346">
        <f t="shared" si="183"/>
        <v>0</v>
      </c>
      <c r="Y565" s="346">
        <f t="shared" si="183"/>
        <v>0</v>
      </c>
      <c r="AQ565" s="3"/>
    </row>
    <row r="566" spans="4:43" x14ac:dyDescent="0.35">
      <c r="E566" s="336"/>
      <c r="F566" s="2" t="s">
        <v>982</v>
      </c>
      <c r="G566" t="s">
        <v>254</v>
      </c>
      <c r="J566" s="91">
        <f>J91</f>
        <v>0</v>
      </c>
      <c r="K566" s="91">
        <f t="shared" ref="K566:Y566" si="184">K91</f>
        <v>0</v>
      </c>
      <c r="L566" s="91">
        <f t="shared" si="184"/>
        <v>0</v>
      </c>
      <c r="M566" s="91">
        <f t="shared" si="184"/>
        <v>0</v>
      </c>
      <c r="N566" s="91">
        <f t="shared" si="184"/>
        <v>55290.896414808143</v>
      </c>
      <c r="O566" s="91">
        <f t="shared" si="184"/>
        <v>1604.4817637096016</v>
      </c>
      <c r="P566" s="91">
        <f t="shared" si="184"/>
        <v>50327.89502641157</v>
      </c>
      <c r="Q566" s="91">
        <f t="shared" si="184"/>
        <v>0</v>
      </c>
      <c r="R566" s="91">
        <f t="shared" si="184"/>
        <v>0</v>
      </c>
      <c r="S566" s="91">
        <f t="shared" si="184"/>
        <v>0</v>
      </c>
      <c r="T566" s="91">
        <f t="shared" si="184"/>
        <v>0</v>
      </c>
      <c r="U566" s="91">
        <f t="shared" si="184"/>
        <v>0</v>
      </c>
      <c r="V566" s="91">
        <f t="shared" si="184"/>
        <v>0</v>
      </c>
      <c r="W566" s="91">
        <f t="shared" si="184"/>
        <v>0</v>
      </c>
      <c r="X566" s="91">
        <f t="shared" si="184"/>
        <v>0</v>
      </c>
      <c r="Y566" s="91">
        <f t="shared" si="184"/>
        <v>0</v>
      </c>
      <c r="AQ566" s="3"/>
    </row>
    <row r="567" spans="4:43" x14ac:dyDescent="0.35">
      <c r="E567" s="70"/>
      <c r="F567" s="337" t="s">
        <v>981</v>
      </c>
      <c r="G567" s="28" t="s">
        <v>254</v>
      </c>
      <c r="H567" s="28"/>
      <c r="I567" s="28"/>
      <c r="J567" s="346">
        <f>J100</f>
        <v>0</v>
      </c>
      <c r="K567" s="346">
        <f t="shared" ref="K567:Y567" si="185">K100</f>
        <v>0</v>
      </c>
      <c r="L567" s="346">
        <f t="shared" si="185"/>
        <v>0</v>
      </c>
      <c r="M567" s="346">
        <f t="shared" si="185"/>
        <v>0</v>
      </c>
      <c r="N567" s="346">
        <f t="shared" si="185"/>
        <v>181606.74385323591</v>
      </c>
      <c r="O567" s="346">
        <f t="shared" si="185"/>
        <v>20004.902102583135</v>
      </c>
      <c r="P567" s="346">
        <f t="shared" si="185"/>
        <v>145759.38045333393</v>
      </c>
      <c r="Q567" s="346">
        <f t="shared" si="185"/>
        <v>0</v>
      </c>
      <c r="R567" s="346">
        <f t="shared" si="185"/>
        <v>0</v>
      </c>
      <c r="S567" s="346">
        <f t="shared" si="185"/>
        <v>0</v>
      </c>
      <c r="T567" s="346">
        <f t="shared" si="185"/>
        <v>0</v>
      </c>
      <c r="U567" s="346">
        <f t="shared" si="185"/>
        <v>0</v>
      </c>
      <c r="V567" s="346">
        <f t="shared" si="185"/>
        <v>0</v>
      </c>
      <c r="W567" s="346">
        <f t="shared" si="185"/>
        <v>0</v>
      </c>
      <c r="X567" s="346">
        <f t="shared" si="185"/>
        <v>0</v>
      </c>
      <c r="Y567" s="346">
        <f t="shared" si="185"/>
        <v>0</v>
      </c>
      <c r="AQ567" s="3"/>
    </row>
    <row r="568" spans="4:43" x14ac:dyDescent="0.35">
      <c r="AQ568" s="3"/>
    </row>
    <row r="569" spans="4:43" x14ac:dyDescent="0.35">
      <c r="D569" s="27" t="s">
        <v>1131</v>
      </c>
      <c r="AQ569" s="3"/>
    </row>
    <row r="570" spans="4:43" x14ac:dyDescent="0.35">
      <c r="E570" s="68" t="s">
        <v>247</v>
      </c>
      <c r="F570" s="19"/>
      <c r="G570" s="19"/>
      <c r="H570" s="19"/>
      <c r="I570" s="19"/>
      <c r="J570" s="19"/>
      <c r="K570" s="19"/>
      <c r="L570" s="19"/>
      <c r="M570" s="19"/>
      <c r="N570" s="19"/>
      <c r="O570" s="19"/>
      <c r="P570" s="19"/>
      <c r="Q570" s="19"/>
      <c r="R570" s="19"/>
      <c r="S570" s="19"/>
      <c r="T570" s="19"/>
      <c r="U570" s="19"/>
      <c r="V570" s="19"/>
      <c r="W570" s="19"/>
      <c r="X570" s="19"/>
      <c r="Y570" s="19"/>
      <c r="AQ570" s="3"/>
    </row>
    <row r="571" spans="4:43" x14ac:dyDescent="0.35">
      <c r="E571" s="336"/>
      <c r="F571" s="2" t="s">
        <v>978</v>
      </c>
      <c r="G571" t="s">
        <v>207</v>
      </c>
      <c r="J571" s="121">
        <f>J105</f>
        <v>0</v>
      </c>
      <c r="K571" s="121">
        <f t="shared" ref="K571:Y571" si="186">K105</f>
        <v>0</v>
      </c>
      <c r="L571" s="121">
        <f t="shared" si="186"/>
        <v>0.445960085393863</v>
      </c>
      <c r="M571" s="121">
        <f t="shared" si="186"/>
        <v>13.991341247966051</v>
      </c>
      <c r="N571" s="121">
        <f t="shared" si="186"/>
        <v>0</v>
      </c>
      <c r="O571" s="121">
        <f t="shared" si="186"/>
        <v>0</v>
      </c>
      <c r="P571" s="121">
        <f t="shared" si="186"/>
        <v>0</v>
      </c>
      <c r="Q571" s="121">
        <f t="shared" si="186"/>
        <v>0</v>
      </c>
      <c r="R571" s="121">
        <f t="shared" si="186"/>
        <v>29.156000000000002</v>
      </c>
      <c r="S571" s="121">
        <f t="shared" si="186"/>
        <v>0</v>
      </c>
      <c r="T571" s="121">
        <f t="shared" si="186"/>
        <v>5.6150000000000002</v>
      </c>
      <c r="U571" s="121">
        <f t="shared" si="186"/>
        <v>0</v>
      </c>
      <c r="V571" s="121">
        <f t="shared" si="186"/>
        <v>0</v>
      </c>
      <c r="W571" s="121">
        <f t="shared" si="186"/>
        <v>0</v>
      </c>
      <c r="X571" s="121">
        <f t="shared" si="186"/>
        <v>0</v>
      </c>
      <c r="Y571" s="121">
        <f t="shared" si="186"/>
        <v>0</v>
      </c>
      <c r="AQ571" s="3"/>
    </row>
    <row r="572" spans="4:43" x14ac:dyDescent="0.35">
      <c r="E572" s="336"/>
      <c r="F572" s="2" t="s">
        <v>979</v>
      </c>
      <c r="G572" t="s">
        <v>207</v>
      </c>
      <c r="J572" s="346">
        <f>J114</f>
        <v>7691.139404590519</v>
      </c>
      <c r="K572" s="346">
        <f t="shared" ref="K572:Y572" si="187">K114</f>
        <v>0</v>
      </c>
      <c r="L572" s="346">
        <f t="shared" si="187"/>
        <v>300.32169312177052</v>
      </c>
      <c r="M572" s="346">
        <f t="shared" si="187"/>
        <v>0</v>
      </c>
      <c r="N572" s="346">
        <f t="shared" si="187"/>
        <v>150.45430787791497</v>
      </c>
      <c r="O572" s="346">
        <f t="shared" si="187"/>
        <v>0</v>
      </c>
      <c r="P572" s="346">
        <f t="shared" si="187"/>
        <v>0</v>
      </c>
      <c r="Q572" s="346">
        <f t="shared" si="187"/>
        <v>5.3186150842555566</v>
      </c>
      <c r="R572" s="346">
        <f t="shared" si="187"/>
        <v>0</v>
      </c>
      <c r="S572" s="346">
        <f t="shared" si="187"/>
        <v>0</v>
      </c>
      <c r="T572" s="346">
        <f t="shared" si="187"/>
        <v>0</v>
      </c>
      <c r="U572" s="346">
        <f t="shared" si="187"/>
        <v>0</v>
      </c>
      <c r="V572" s="346">
        <f t="shared" si="187"/>
        <v>0</v>
      </c>
      <c r="W572" s="346">
        <f t="shared" si="187"/>
        <v>0</v>
      </c>
      <c r="X572" s="346">
        <f t="shared" si="187"/>
        <v>0</v>
      </c>
      <c r="Y572" s="346">
        <f t="shared" si="187"/>
        <v>0</v>
      </c>
      <c r="AQ572" s="3"/>
    </row>
    <row r="573" spans="4:43" x14ac:dyDescent="0.35">
      <c r="E573" s="336"/>
      <c r="F573" s="2" t="s">
        <v>980</v>
      </c>
      <c r="G573" t="s">
        <v>207</v>
      </c>
      <c r="J573" s="346">
        <f>J123</f>
        <v>0</v>
      </c>
      <c r="K573" s="346">
        <f t="shared" ref="K573:Y573" si="188">K123</f>
        <v>0</v>
      </c>
      <c r="L573" s="346">
        <f t="shared" si="188"/>
        <v>106.91967872835548</v>
      </c>
      <c r="M573" s="346">
        <f t="shared" si="188"/>
        <v>0</v>
      </c>
      <c r="N573" s="346">
        <f t="shared" si="188"/>
        <v>398.82480495040681</v>
      </c>
      <c r="O573" s="346">
        <f t="shared" si="188"/>
        <v>0</v>
      </c>
      <c r="P573" s="346">
        <f t="shared" si="188"/>
        <v>0</v>
      </c>
      <c r="Q573" s="346">
        <f t="shared" si="188"/>
        <v>0</v>
      </c>
      <c r="R573" s="346">
        <f t="shared" si="188"/>
        <v>0</v>
      </c>
      <c r="S573" s="346">
        <f t="shared" si="188"/>
        <v>0</v>
      </c>
      <c r="T573" s="346">
        <f t="shared" si="188"/>
        <v>0</v>
      </c>
      <c r="U573" s="346">
        <f t="shared" si="188"/>
        <v>0</v>
      </c>
      <c r="V573" s="346">
        <f t="shared" si="188"/>
        <v>0</v>
      </c>
      <c r="W573" s="346">
        <f t="shared" si="188"/>
        <v>0</v>
      </c>
      <c r="X573" s="346">
        <f t="shared" si="188"/>
        <v>0</v>
      </c>
      <c r="Y573" s="346">
        <f t="shared" si="188"/>
        <v>0</v>
      </c>
      <c r="AQ573" s="3"/>
    </row>
    <row r="574" spans="4:43" x14ac:dyDescent="0.35">
      <c r="E574" s="336"/>
      <c r="F574" s="2" t="s">
        <v>982</v>
      </c>
      <c r="G574" t="s">
        <v>207</v>
      </c>
      <c r="J574" s="91">
        <f>J132</f>
        <v>0</v>
      </c>
      <c r="K574" s="91">
        <f t="shared" ref="K574:Y574" si="189">K132</f>
        <v>0</v>
      </c>
      <c r="L574" s="91">
        <f t="shared" si="189"/>
        <v>194.72293419892159</v>
      </c>
      <c r="M574" s="91">
        <f t="shared" si="189"/>
        <v>0</v>
      </c>
      <c r="N574" s="91">
        <f t="shared" si="189"/>
        <v>671.5658704110067</v>
      </c>
      <c r="O574" s="91">
        <f t="shared" si="189"/>
        <v>0</v>
      </c>
      <c r="P574" s="91">
        <f t="shared" si="189"/>
        <v>0</v>
      </c>
      <c r="Q574" s="91">
        <f t="shared" si="189"/>
        <v>0</v>
      </c>
      <c r="R574" s="91">
        <f t="shared" si="189"/>
        <v>0</v>
      </c>
      <c r="S574" s="91">
        <f t="shared" si="189"/>
        <v>0</v>
      </c>
      <c r="T574" s="91">
        <f t="shared" si="189"/>
        <v>0</v>
      </c>
      <c r="U574" s="91">
        <f t="shared" si="189"/>
        <v>0</v>
      </c>
      <c r="V574" s="91">
        <f t="shared" si="189"/>
        <v>0</v>
      </c>
      <c r="W574" s="91">
        <f t="shared" si="189"/>
        <v>0</v>
      </c>
      <c r="X574" s="91">
        <f t="shared" si="189"/>
        <v>0</v>
      </c>
      <c r="Y574" s="91">
        <f t="shared" si="189"/>
        <v>0</v>
      </c>
      <c r="AQ574" s="3"/>
    </row>
    <row r="575" spans="4:43" x14ac:dyDescent="0.35">
      <c r="E575" s="336"/>
      <c r="F575" s="2" t="s">
        <v>981</v>
      </c>
      <c r="G575" t="s">
        <v>207</v>
      </c>
      <c r="J575" s="91">
        <f>J141</f>
        <v>0</v>
      </c>
      <c r="K575" s="91">
        <f t="shared" ref="K575:Y575" si="190">K141</f>
        <v>0</v>
      </c>
      <c r="L575" s="91">
        <f t="shared" si="190"/>
        <v>209.17822654181128</v>
      </c>
      <c r="M575" s="91">
        <f t="shared" si="190"/>
        <v>0</v>
      </c>
      <c r="N575" s="91">
        <f t="shared" si="190"/>
        <v>372.17815978626317</v>
      </c>
      <c r="O575" s="91">
        <f t="shared" si="190"/>
        <v>0</v>
      </c>
      <c r="P575" s="91">
        <f t="shared" si="190"/>
        <v>0</v>
      </c>
      <c r="Q575" s="91">
        <f t="shared" si="190"/>
        <v>0</v>
      </c>
      <c r="R575" s="91">
        <f t="shared" si="190"/>
        <v>0</v>
      </c>
      <c r="S575" s="91">
        <f t="shared" si="190"/>
        <v>0</v>
      </c>
      <c r="T575" s="91">
        <f t="shared" si="190"/>
        <v>0</v>
      </c>
      <c r="U575" s="91">
        <f t="shared" si="190"/>
        <v>0</v>
      </c>
      <c r="V575" s="91">
        <f t="shared" si="190"/>
        <v>0</v>
      </c>
      <c r="W575" s="91">
        <f t="shared" si="190"/>
        <v>0</v>
      </c>
      <c r="X575" s="91">
        <f t="shared" si="190"/>
        <v>0</v>
      </c>
      <c r="Y575" s="91">
        <f t="shared" si="190"/>
        <v>0</v>
      </c>
      <c r="AQ575" s="3"/>
    </row>
    <row r="576" spans="4:43" x14ac:dyDescent="0.35">
      <c r="E576" s="62" t="s">
        <v>248</v>
      </c>
      <c r="F576" s="2"/>
      <c r="J576" s="22"/>
      <c r="K576" s="22"/>
      <c r="L576" s="22"/>
      <c r="M576" s="22"/>
      <c r="N576" s="22"/>
      <c r="O576" s="22"/>
      <c r="P576" s="22"/>
      <c r="Q576" s="22"/>
      <c r="R576" s="22"/>
      <c r="S576" s="22"/>
      <c r="T576" s="22"/>
      <c r="U576" s="22"/>
      <c r="V576" s="22"/>
      <c r="W576" s="22"/>
      <c r="X576" s="22"/>
      <c r="Y576" s="22"/>
      <c r="AQ576" s="3"/>
    </row>
    <row r="577" spans="5:43" x14ac:dyDescent="0.35">
      <c r="E577" s="336"/>
      <c r="F577" s="2" t="s">
        <v>978</v>
      </c>
      <c r="G577" t="s">
        <v>207</v>
      </c>
      <c r="J577" s="121">
        <f>J106</f>
        <v>0</v>
      </c>
      <c r="K577" s="121">
        <f t="shared" ref="K577:Y577" si="191">K106</f>
        <v>0</v>
      </c>
      <c r="L577" s="121">
        <f t="shared" si="191"/>
        <v>2.8010158597995578</v>
      </c>
      <c r="M577" s="121">
        <f t="shared" si="191"/>
        <v>84.194128157331988</v>
      </c>
      <c r="N577" s="121">
        <f t="shared" si="191"/>
        <v>0</v>
      </c>
      <c r="O577" s="121">
        <f t="shared" si="191"/>
        <v>0</v>
      </c>
      <c r="P577" s="121">
        <f t="shared" si="191"/>
        <v>0</v>
      </c>
      <c r="Q577" s="121">
        <f t="shared" si="191"/>
        <v>0</v>
      </c>
      <c r="R577" s="121">
        <f t="shared" si="191"/>
        <v>236.631</v>
      </c>
      <c r="S577" s="121">
        <f t="shared" si="191"/>
        <v>0</v>
      </c>
      <c r="T577" s="121">
        <f t="shared" si="191"/>
        <v>64.233000000000004</v>
      </c>
      <c r="U577" s="121">
        <f t="shared" si="191"/>
        <v>0</v>
      </c>
      <c r="V577" s="121">
        <f t="shared" si="191"/>
        <v>0</v>
      </c>
      <c r="W577" s="121">
        <f t="shared" si="191"/>
        <v>0</v>
      </c>
      <c r="X577" s="121">
        <f t="shared" si="191"/>
        <v>0</v>
      </c>
      <c r="Y577" s="121">
        <f t="shared" si="191"/>
        <v>0</v>
      </c>
      <c r="AQ577" s="3"/>
    </row>
    <row r="578" spans="5:43" x14ac:dyDescent="0.35">
      <c r="E578" s="336"/>
      <c r="F578" s="2" t="s">
        <v>979</v>
      </c>
      <c r="G578" t="s">
        <v>207</v>
      </c>
      <c r="J578" s="346">
        <f>J115</f>
        <v>33745.422899500707</v>
      </c>
      <c r="K578" s="346">
        <f t="shared" ref="K578:Y578" si="192">K115</f>
        <v>0</v>
      </c>
      <c r="L578" s="346">
        <f t="shared" si="192"/>
        <v>1886.2805282966051</v>
      </c>
      <c r="M578" s="346">
        <f t="shared" si="192"/>
        <v>0</v>
      </c>
      <c r="N578" s="346">
        <f t="shared" si="192"/>
        <v>891.14116200582839</v>
      </c>
      <c r="O578" s="346">
        <f t="shared" si="192"/>
        <v>0</v>
      </c>
      <c r="P578" s="346">
        <f t="shared" si="192"/>
        <v>0</v>
      </c>
      <c r="Q578" s="346">
        <f t="shared" si="192"/>
        <v>36.767992719145923</v>
      </c>
      <c r="R578" s="346">
        <f t="shared" si="192"/>
        <v>0</v>
      </c>
      <c r="S578" s="346">
        <f t="shared" si="192"/>
        <v>0</v>
      </c>
      <c r="T578" s="346">
        <f t="shared" si="192"/>
        <v>0</v>
      </c>
      <c r="U578" s="346">
        <f t="shared" si="192"/>
        <v>0</v>
      </c>
      <c r="V578" s="346">
        <f t="shared" si="192"/>
        <v>0</v>
      </c>
      <c r="W578" s="346">
        <f t="shared" si="192"/>
        <v>0</v>
      </c>
      <c r="X578" s="346">
        <f t="shared" si="192"/>
        <v>0</v>
      </c>
      <c r="Y578" s="346">
        <f t="shared" si="192"/>
        <v>0</v>
      </c>
      <c r="AQ578" s="3"/>
    </row>
    <row r="579" spans="5:43" x14ac:dyDescent="0.35">
      <c r="E579" s="336"/>
      <c r="F579" s="2" t="s">
        <v>980</v>
      </c>
      <c r="G579" t="s">
        <v>207</v>
      </c>
      <c r="J579" s="346">
        <f>J124</f>
        <v>0</v>
      </c>
      <c r="K579" s="346">
        <f t="shared" ref="K579:Y579" si="193">K124</f>
        <v>0</v>
      </c>
      <c r="L579" s="346">
        <f t="shared" si="193"/>
        <v>671.54825207798388</v>
      </c>
      <c r="M579" s="346">
        <f t="shared" si="193"/>
        <v>0</v>
      </c>
      <c r="N579" s="346">
        <f t="shared" si="193"/>
        <v>2362.2401055385371</v>
      </c>
      <c r="O579" s="346">
        <f t="shared" si="193"/>
        <v>0</v>
      </c>
      <c r="P579" s="346">
        <f t="shared" si="193"/>
        <v>0</v>
      </c>
      <c r="Q579" s="346">
        <f t="shared" si="193"/>
        <v>0</v>
      </c>
      <c r="R579" s="346">
        <f t="shared" si="193"/>
        <v>0</v>
      </c>
      <c r="S579" s="346">
        <f t="shared" si="193"/>
        <v>0</v>
      </c>
      <c r="T579" s="346">
        <f t="shared" si="193"/>
        <v>0</v>
      </c>
      <c r="U579" s="346">
        <f t="shared" si="193"/>
        <v>0</v>
      </c>
      <c r="V579" s="346">
        <f t="shared" si="193"/>
        <v>0</v>
      </c>
      <c r="W579" s="346">
        <f t="shared" si="193"/>
        <v>0</v>
      </c>
      <c r="X579" s="346">
        <f t="shared" si="193"/>
        <v>0</v>
      </c>
      <c r="Y579" s="346">
        <f t="shared" si="193"/>
        <v>0</v>
      </c>
      <c r="AQ579" s="3"/>
    </row>
    <row r="580" spans="5:43" x14ac:dyDescent="0.35">
      <c r="E580" s="336"/>
      <c r="F580" s="2" t="s">
        <v>982</v>
      </c>
      <c r="G580" t="s">
        <v>207</v>
      </c>
      <c r="J580" s="91">
        <f>J133</f>
        <v>0</v>
      </c>
      <c r="K580" s="91">
        <f t="shared" ref="K580:Y580" si="194">K133</f>
        <v>0</v>
      </c>
      <c r="L580" s="91">
        <f t="shared" si="194"/>
        <v>1223.0287974677808</v>
      </c>
      <c r="M580" s="91">
        <f t="shared" si="194"/>
        <v>0</v>
      </c>
      <c r="N580" s="91">
        <f t="shared" si="194"/>
        <v>3977.6859736521201</v>
      </c>
      <c r="O580" s="91">
        <f t="shared" si="194"/>
        <v>0</v>
      </c>
      <c r="P580" s="91">
        <f t="shared" si="194"/>
        <v>0</v>
      </c>
      <c r="Q580" s="91">
        <f t="shared" si="194"/>
        <v>0</v>
      </c>
      <c r="R580" s="91">
        <f t="shared" si="194"/>
        <v>0</v>
      </c>
      <c r="S580" s="91">
        <f t="shared" si="194"/>
        <v>0</v>
      </c>
      <c r="T580" s="91">
        <f t="shared" si="194"/>
        <v>0</v>
      </c>
      <c r="U580" s="91">
        <f t="shared" si="194"/>
        <v>0</v>
      </c>
      <c r="V580" s="91">
        <f t="shared" si="194"/>
        <v>0</v>
      </c>
      <c r="W580" s="91">
        <f t="shared" si="194"/>
        <v>0</v>
      </c>
      <c r="X580" s="91">
        <f t="shared" si="194"/>
        <v>0</v>
      </c>
      <c r="Y580" s="91">
        <f t="shared" si="194"/>
        <v>0</v>
      </c>
      <c r="AQ580" s="3"/>
    </row>
    <row r="581" spans="5:43" x14ac:dyDescent="0.35">
      <c r="E581" s="336"/>
      <c r="F581" s="2" t="s">
        <v>981</v>
      </c>
      <c r="G581" t="s">
        <v>207</v>
      </c>
      <c r="J581" s="91">
        <f>J142</f>
        <v>0</v>
      </c>
      <c r="K581" s="91">
        <f t="shared" ref="K581:Y581" si="195">K142</f>
        <v>0</v>
      </c>
      <c r="L581" s="91">
        <f t="shared" si="195"/>
        <v>1313.8205621045499</v>
      </c>
      <c r="M581" s="91">
        <f t="shared" si="195"/>
        <v>0</v>
      </c>
      <c r="N581" s="91">
        <f t="shared" si="195"/>
        <v>2204.4119737285764</v>
      </c>
      <c r="O581" s="91">
        <f t="shared" si="195"/>
        <v>0</v>
      </c>
      <c r="P581" s="91">
        <f t="shared" si="195"/>
        <v>0</v>
      </c>
      <c r="Q581" s="91">
        <f t="shared" si="195"/>
        <v>0</v>
      </c>
      <c r="R581" s="91">
        <f t="shared" si="195"/>
        <v>0</v>
      </c>
      <c r="S581" s="91">
        <f t="shared" si="195"/>
        <v>0</v>
      </c>
      <c r="T581" s="91">
        <f t="shared" si="195"/>
        <v>0</v>
      </c>
      <c r="U581" s="91">
        <f t="shared" si="195"/>
        <v>0</v>
      </c>
      <c r="V581" s="91">
        <f t="shared" si="195"/>
        <v>0</v>
      </c>
      <c r="W581" s="91">
        <f t="shared" si="195"/>
        <v>0</v>
      </c>
      <c r="X581" s="91">
        <f t="shared" si="195"/>
        <v>0</v>
      </c>
      <c r="Y581" s="91">
        <f t="shared" si="195"/>
        <v>0</v>
      </c>
      <c r="AQ581" s="3"/>
    </row>
    <row r="582" spans="5:43" x14ac:dyDescent="0.35">
      <c r="E582" s="62" t="s">
        <v>249</v>
      </c>
      <c r="F582" s="2"/>
      <c r="J582" s="22"/>
      <c r="K582" s="22"/>
      <c r="L582" s="22"/>
      <c r="M582" s="22"/>
      <c r="N582" s="22"/>
      <c r="O582" s="22"/>
      <c r="P582" s="22"/>
      <c r="Q582" s="22"/>
      <c r="R582" s="22"/>
      <c r="S582" s="22"/>
      <c r="T582" s="22"/>
      <c r="U582" s="22"/>
      <c r="V582" s="22"/>
      <c r="W582" s="22"/>
      <c r="X582" s="22"/>
      <c r="Y582" s="22"/>
      <c r="AQ582" s="3"/>
    </row>
    <row r="583" spans="5:43" x14ac:dyDescent="0.35">
      <c r="E583" s="336"/>
      <c r="F583" s="2" t="s">
        <v>978</v>
      </c>
      <c r="G583" t="s">
        <v>207</v>
      </c>
      <c r="J583" s="121">
        <f>J107</f>
        <v>0</v>
      </c>
      <c r="K583" s="121">
        <f t="shared" ref="K583:Y583" si="196">K107</f>
        <v>0</v>
      </c>
      <c r="L583" s="121">
        <f t="shared" si="196"/>
        <v>1.3052759364009814</v>
      </c>
      <c r="M583" s="121">
        <f t="shared" si="196"/>
        <v>38.11077354248728</v>
      </c>
      <c r="N583" s="121">
        <f t="shared" si="196"/>
        <v>0</v>
      </c>
      <c r="O583" s="121">
        <f t="shared" si="196"/>
        <v>0</v>
      </c>
      <c r="P583" s="121">
        <f t="shared" si="196"/>
        <v>0</v>
      </c>
      <c r="Q583" s="121">
        <f t="shared" si="196"/>
        <v>0</v>
      </c>
      <c r="R583" s="121">
        <f t="shared" si="196"/>
        <v>21.694000000000003</v>
      </c>
      <c r="S583" s="121">
        <f t="shared" si="196"/>
        <v>0</v>
      </c>
      <c r="T583" s="121">
        <f t="shared" si="196"/>
        <v>2.7059999999999991</v>
      </c>
      <c r="U583" s="121">
        <f t="shared" si="196"/>
        <v>0</v>
      </c>
      <c r="V583" s="121">
        <f t="shared" si="196"/>
        <v>0</v>
      </c>
      <c r="W583" s="121">
        <f t="shared" si="196"/>
        <v>0</v>
      </c>
      <c r="X583" s="121">
        <f t="shared" si="196"/>
        <v>0</v>
      </c>
      <c r="Y583" s="121">
        <f t="shared" si="196"/>
        <v>0</v>
      </c>
      <c r="AQ583" s="3"/>
    </row>
    <row r="584" spans="5:43" x14ac:dyDescent="0.35">
      <c r="E584" s="336"/>
      <c r="F584" s="2" t="s">
        <v>979</v>
      </c>
      <c r="G584" t="s">
        <v>207</v>
      </c>
      <c r="J584" s="346">
        <f>J116</f>
        <v>16590.570421278677</v>
      </c>
      <c r="K584" s="346">
        <f t="shared" ref="K584:Y584" si="197">K116</f>
        <v>0</v>
      </c>
      <c r="L584" s="346">
        <f t="shared" si="197"/>
        <v>879.00844055323546</v>
      </c>
      <c r="M584" s="346">
        <f t="shared" si="197"/>
        <v>0</v>
      </c>
      <c r="N584" s="346">
        <f t="shared" si="197"/>
        <v>507.94335818651399</v>
      </c>
      <c r="O584" s="346">
        <f t="shared" si="197"/>
        <v>0</v>
      </c>
      <c r="P584" s="346">
        <f t="shared" si="197"/>
        <v>0</v>
      </c>
      <c r="Q584" s="346">
        <f t="shared" si="197"/>
        <v>30.624798657932054</v>
      </c>
      <c r="R584" s="346">
        <f t="shared" si="197"/>
        <v>0</v>
      </c>
      <c r="S584" s="346">
        <f t="shared" si="197"/>
        <v>0</v>
      </c>
      <c r="T584" s="346">
        <f t="shared" si="197"/>
        <v>0</v>
      </c>
      <c r="U584" s="346">
        <f t="shared" si="197"/>
        <v>0</v>
      </c>
      <c r="V584" s="346">
        <f t="shared" si="197"/>
        <v>0</v>
      </c>
      <c r="W584" s="346">
        <f t="shared" si="197"/>
        <v>0</v>
      </c>
      <c r="X584" s="346">
        <f t="shared" si="197"/>
        <v>0</v>
      </c>
      <c r="Y584" s="346">
        <f t="shared" si="197"/>
        <v>0</v>
      </c>
      <c r="AQ584" s="3"/>
    </row>
    <row r="585" spans="5:43" x14ac:dyDescent="0.35">
      <c r="E585" s="336"/>
      <c r="F585" s="2" t="s">
        <v>980</v>
      </c>
      <c r="G585" t="s">
        <v>207</v>
      </c>
      <c r="J585" s="346">
        <f>J125</f>
        <v>0</v>
      </c>
      <c r="K585" s="346">
        <f t="shared" ref="K585:Y585" si="198">K125</f>
        <v>0</v>
      </c>
      <c r="L585" s="346">
        <f t="shared" si="198"/>
        <v>312.94209581243126</v>
      </c>
      <c r="M585" s="346">
        <f t="shared" si="198"/>
        <v>0</v>
      </c>
      <c r="N585" s="346">
        <f t="shared" si="198"/>
        <v>1346.4580284332799</v>
      </c>
      <c r="O585" s="346">
        <f t="shared" si="198"/>
        <v>0</v>
      </c>
      <c r="P585" s="346">
        <f t="shared" si="198"/>
        <v>0</v>
      </c>
      <c r="Q585" s="346">
        <f t="shared" si="198"/>
        <v>0</v>
      </c>
      <c r="R585" s="346">
        <f t="shared" si="198"/>
        <v>0</v>
      </c>
      <c r="S585" s="346">
        <f t="shared" si="198"/>
        <v>0</v>
      </c>
      <c r="T585" s="346">
        <f t="shared" si="198"/>
        <v>0</v>
      </c>
      <c r="U585" s="346">
        <f t="shared" si="198"/>
        <v>0</v>
      </c>
      <c r="V585" s="346">
        <f t="shared" si="198"/>
        <v>0</v>
      </c>
      <c r="W585" s="346">
        <f t="shared" si="198"/>
        <v>0</v>
      </c>
      <c r="X585" s="346">
        <f t="shared" si="198"/>
        <v>0</v>
      </c>
      <c r="Y585" s="346">
        <f t="shared" si="198"/>
        <v>0</v>
      </c>
      <c r="AQ585" s="3"/>
    </row>
    <row r="586" spans="5:43" x14ac:dyDescent="0.35">
      <c r="E586" s="336"/>
      <c r="F586" s="2" t="s">
        <v>982</v>
      </c>
      <c r="G586" t="s">
        <v>207</v>
      </c>
      <c r="J586" s="91">
        <f>J134</f>
        <v>0</v>
      </c>
      <c r="K586" s="91">
        <f t="shared" ref="K586:Y586" si="199">K134</f>
        <v>0</v>
      </c>
      <c r="L586" s="91">
        <f t="shared" si="199"/>
        <v>569.93253118329801</v>
      </c>
      <c r="M586" s="91">
        <f t="shared" si="199"/>
        <v>0</v>
      </c>
      <c r="N586" s="91">
        <f t="shared" si="199"/>
        <v>2267.2492949607877</v>
      </c>
      <c r="O586" s="91">
        <f t="shared" si="199"/>
        <v>0</v>
      </c>
      <c r="P586" s="91">
        <f t="shared" si="199"/>
        <v>0</v>
      </c>
      <c r="Q586" s="91">
        <f t="shared" si="199"/>
        <v>0</v>
      </c>
      <c r="R586" s="91">
        <f t="shared" si="199"/>
        <v>0</v>
      </c>
      <c r="S586" s="91">
        <f t="shared" si="199"/>
        <v>0</v>
      </c>
      <c r="T586" s="91">
        <f t="shared" si="199"/>
        <v>0</v>
      </c>
      <c r="U586" s="91">
        <f t="shared" si="199"/>
        <v>0</v>
      </c>
      <c r="V586" s="91">
        <f t="shared" si="199"/>
        <v>0</v>
      </c>
      <c r="W586" s="91">
        <f t="shared" si="199"/>
        <v>0</v>
      </c>
      <c r="X586" s="91">
        <f t="shared" si="199"/>
        <v>0</v>
      </c>
      <c r="Y586" s="91">
        <f t="shared" si="199"/>
        <v>0</v>
      </c>
      <c r="AQ586" s="3"/>
    </row>
    <row r="587" spans="5:43" x14ac:dyDescent="0.35">
      <c r="E587" s="336"/>
      <c r="F587" s="2" t="s">
        <v>981</v>
      </c>
      <c r="G587" t="s">
        <v>207</v>
      </c>
      <c r="J587" s="91">
        <f>J143</f>
        <v>0</v>
      </c>
      <c r="K587" s="91">
        <f t="shared" ref="K587:Y587" si="200">K143</f>
        <v>0</v>
      </c>
      <c r="L587" s="91">
        <f t="shared" si="200"/>
        <v>612.24157602113667</v>
      </c>
      <c r="M587" s="91">
        <f t="shared" si="200"/>
        <v>0</v>
      </c>
      <c r="N587" s="91">
        <f t="shared" si="200"/>
        <v>1256.4972515038321</v>
      </c>
      <c r="O587" s="91">
        <f t="shared" si="200"/>
        <v>0</v>
      </c>
      <c r="P587" s="91">
        <f t="shared" si="200"/>
        <v>0</v>
      </c>
      <c r="Q587" s="91">
        <f t="shared" si="200"/>
        <v>0</v>
      </c>
      <c r="R587" s="91">
        <f t="shared" si="200"/>
        <v>0</v>
      </c>
      <c r="S587" s="91">
        <f t="shared" si="200"/>
        <v>0</v>
      </c>
      <c r="T587" s="91">
        <f t="shared" si="200"/>
        <v>0</v>
      </c>
      <c r="U587" s="91">
        <f t="shared" si="200"/>
        <v>0</v>
      </c>
      <c r="V587" s="91">
        <f t="shared" si="200"/>
        <v>0</v>
      </c>
      <c r="W587" s="91">
        <f t="shared" si="200"/>
        <v>0</v>
      </c>
      <c r="X587" s="91">
        <f t="shared" si="200"/>
        <v>0</v>
      </c>
      <c r="Y587" s="91">
        <f t="shared" si="200"/>
        <v>0</v>
      </c>
      <c r="AQ587" s="3"/>
    </row>
    <row r="588" spans="5:43" x14ac:dyDescent="0.35">
      <c r="E588" s="62" t="s">
        <v>212</v>
      </c>
      <c r="F588" s="2"/>
      <c r="J588" s="22"/>
      <c r="K588" s="22"/>
      <c r="L588" s="22"/>
      <c r="M588" s="22"/>
      <c r="N588" s="22"/>
      <c r="O588" s="22"/>
      <c r="P588" s="22"/>
      <c r="Q588" s="22"/>
      <c r="R588" s="22"/>
      <c r="S588" s="22"/>
      <c r="T588" s="22"/>
      <c r="U588" s="22"/>
      <c r="V588" s="22"/>
      <c r="W588" s="22"/>
      <c r="X588" s="22"/>
      <c r="Y588" s="22"/>
      <c r="AQ588" s="3"/>
    </row>
    <row r="589" spans="5:43" x14ac:dyDescent="0.35">
      <c r="E589" s="336"/>
      <c r="F589" s="2" t="s">
        <v>978</v>
      </c>
      <c r="G589" t="s">
        <v>212</v>
      </c>
      <c r="J589" s="121">
        <f>J108</f>
        <v>0</v>
      </c>
      <c r="K589" s="121">
        <f t="shared" ref="K589:Y589" si="201">K108</f>
        <v>0</v>
      </c>
      <c r="L589" s="121">
        <f t="shared" si="201"/>
        <v>1.1689037165358789</v>
      </c>
      <c r="M589" s="121">
        <f t="shared" si="201"/>
        <v>3.0357142857142851</v>
      </c>
      <c r="N589" s="121">
        <f t="shared" si="201"/>
        <v>0</v>
      </c>
      <c r="O589" s="121">
        <f t="shared" si="201"/>
        <v>0</v>
      </c>
      <c r="P589" s="121">
        <f t="shared" si="201"/>
        <v>0</v>
      </c>
      <c r="Q589" s="121">
        <f t="shared" si="201"/>
        <v>0</v>
      </c>
      <c r="R589" s="121">
        <f t="shared" si="201"/>
        <v>104.41935483870968</v>
      </c>
      <c r="S589" s="121">
        <f t="shared" si="201"/>
        <v>0</v>
      </c>
      <c r="T589" s="121">
        <f t="shared" si="201"/>
        <v>1</v>
      </c>
      <c r="U589" s="121">
        <f t="shared" si="201"/>
        <v>0</v>
      </c>
      <c r="V589" s="121">
        <f t="shared" si="201"/>
        <v>0</v>
      </c>
      <c r="W589" s="121">
        <f t="shared" si="201"/>
        <v>0</v>
      </c>
      <c r="X589" s="121">
        <f t="shared" si="201"/>
        <v>0</v>
      </c>
      <c r="Y589" s="121">
        <f t="shared" si="201"/>
        <v>0</v>
      </c>
      <c r="AQ589" s="3"/>
    </row>
    <row r="590" spans="5:43" x14ac:dyDescent="0.35">
      <c r="E590" s="336"/>
      <c r="F590" s="2" t="s">
        <v>979</v>
      </c>
      <c r="G590" t="s">
        <v>212</v>
      </c>
      <c r="J590" s="346">
        <f>J117</f>
        <v>34816.432226804616</v>
      </c>
      <c r="K590" s="346">
        <f t="shared" ref="K590:Y590" si="202">K117</f>
        <v>0</v>
      </c>
      <c r="L590" s="346">
        <f t="shared" si="202"/>
        <v>517.82434642539442</v>
      </c>
      <c r="M590" s="346">
        <f t="shared" si="202"/>
        <v>0</v>
      </c>
      <c r="N590" s="346">
        <f t="shared" si="202"/>
        <v>29.520983168780315</v>
      </c>
      <c r="O590" s="346">
        <f t="shared" si="202"/>
        <v>0</v>
      </c>
      <c r="P590" s="346">
        <f t="shared" si="202"/>
        <v>0</v>
      </c>
      <c r="Q590" s="346">
        <f t="shared" si="202"/>
        <v>71</v>
      </c>
      <c r="R590" s="346">
        <f t="shared" si="202"/>
        <v>0</v>
      </c>
      <c r="S590" s="346">
        <f t="shared" si="202"/>
        <v>0</v>
      </c>
      <c r="T590" s="346">
        <f t="shared" si="202"/>
        <v>0</v>
      </c>
      <c r="U590" s="346">
        <f t="shared" si="202"/>
        <v>0</v>
      </c>
      <c r="V590" s="346">
        <f t="shared" si="202"/>
        <v>0</v>
      </c>
      <c r="W590" s="346">
        <f t="shared" si="202"/>
        <v>0</v>
      </c>
      <c r="X590" s="346">
        <f t="shared" si="202"/>
        <v>0</v>
      </c>
      <c r="Y590" s="346">
        <f t="shared" si="202"/>
        <v>0</v>
      </c>
      <c r="AQ590" s="3"/>
    </row>
    <row r="591" spans="5:43" x14ac:dyDescent="0.35">
      <c r="E591" s="336"/>
      <c r="F591" s="2" t="s">
        <v>980</v>
      </c>
      <c r="G591" t="s">
        <v>212</v>
      </c>
      <c r="J591" s="346">
        <f>J126</f>
        <v>0</v>
      </c>
      <c r="K591" s="346">
        <f t="shared" ref="K591:Y591" si="203">K126</f>
        <v>0</v>
      </c>
      <c r="L591" s="346">
        <f t="shared" si="203"/>
        <v>170.47140975673258</v>
      </c>
      <c r="M591" s="346">
        <f t="shared" si="203"/>
        <v>0</v>
      </c>
      <c r="N591" s="346">
        <f t="shared" si="203"/>
        <v>80.649736147757281</v>
      </c>
      <c r="O591" s="346">
        <f t="shared" si="203"/>
        <v>0</v>
      </c>
      <c r="P591" s="346">
        <f t="shared" si="203"/>
        <v>0</v>
      </c>
      <c r="Q591" s="346">
        <f t="shared" si="203"/>
        <v>0</v>
      </c>
      <c r="R591" s="346">
        <f t="shared" si="203"/>
        <v>0</v>
      </c>
      <c r="S591" s="346">
        <f t="shared" si="203"/>
        <v>0</v>
      </c>
      <c r="T591" s="346">
        <f t="shared" si="203"/>
        <v>0</v>
      </c>
      <c r="U591" s="346">
        <f t="shared" si="203"/>
        <v>0</v>
      </c>
      <c r="V591" s="346">
        <f t="shared" si="203"/>
        <v>0</v>
      </c>
      <c r="W591" s="346">
        <f t="shared" si="203"/>
        <v>0</v>
      </c>
      <c r="X591" s="346">
        <f t="shared" si="203"/>
        <v>0</v>
      </c>
      <c r="Y591" s="346">
        <f t="shared" si="203"/>
        <v>0</v>
      </c>
      <c r="AQ591" s="3"/>
    </row>
    <row r="592" spans="5:43" x14ac:dyDescent="0.35">
      <c r="E592" s="336"/>
      <c r="F592" s="2" t="s">
        <v>982</v>
      </c>
      <c r="G592" t="s">
        <v>212</v>
      </c>
      <c r="J592" s="91">
        <f>J135</f>
        <v>0</v>
      </c>
      <c r="K592" s="91">
        <f t="shared" ref="K592:Y592" si="204">K135</f>
        <v>0</v>
      </c>
      <c r="L592" s="91">
        <f t="shared" si="204"/>
        <v>211.60927926449529</v>
      </c>
      <c r="M592" s="91">
        <f t="shared" si="204"/>
        <v>0</v>
      </c>
      <c r="N592" s="91">
        <f t="shared" si="204"/>
        <v>76.458262405311061</v>
      </c>
      <c r="O592" s="91">
        <f t="shared" si="204"/>
        <v>0</v>
      </c>
      <c r="P592" s="91">
        <f t="shared" si="204"/>
        <v>0</v>
      </c>
      <c r="Q592" s="91">
        <f t="shared" si="204"/>
        <v>0</v>
      </c>
      <c r="R592" s="91">
        <f t="shared" si="204"/>
        <v>0</v>
      </c>
      <c r="S592" s="91">
        <f t="shared" si="204"/>
        <v>0</v>
      </c>
      <c r="T592" s="91">
        <f t="shared" si="204"/>
        <v>0</v>
      </c>
      <c r="U592" s="91">
        <f t="shared" si="204"/>
        <v>0</v>
      </c>
      <c r="V592" s="91">
        <f t="shared" si="204"/>
        <v>0</v>
      </c>
      <c r="W592" s="91">
        <f t="shared" si="204"/>
        <v>0</v>
      </c>
      <c r="X592" s="91">
        <f t="shared" si="204"/>
        <v>0</v>
      </c>
      <c r="Y592" s="91">
        <f t="shared" si="204"/>
        <v>0</v>
      </c>
      <c r="AQ592" s="3"/>
    </row>
    <row r="593" spans="5:43" x14ac:dyDescent="0.35">
      <c r="E593" s="336"/>
      <c r="F593" s="2" t="s">
        <v>981</v>
      </c>
      <c r="G593" t="s">
        <v>212</v>
      </c>
      <c r="J593" s="91">
        <f>J144</f>
        <v>0</v>
      </c>
      <c r="K593" s="91">
        <f t="shared" ref="K593:Y593" si="205">K144</f>
        <v>0</v>
      </c>
      <c r="L593" s="91">
        <f t="shared" si="205"/>
        <v>75.827915288827512</v>
      </c>
      <c r="M593" s="91">
        <f t="shared" si="205"/>
        <v>0</v>
      </c>
      <c r="N593" s="91">
        <f t="shared" si="205"/>
        <v>32.483921503957795</v>
      </c>
      <c r="O593" s="91">
        <f t="shared" si="205"/>
        <v>0</v>
      </c>
      <c r="P593" s="91">
        <f t="shared" si="205"/>
        <v>0</v>
      </c>
      <c r="Q593" s="91">
        <f t="shared" si="205"/>
        <v>0</v>
      </c>
      <c r="R593" s="91">
        <f t="shared" si="205"/>
        <v>0</v>
      </c>
      <c r="S593" s="91">
        <f t="shared" si="205"/>
        <v>0</v>
      </c>
      <c r="T593" s="91">
        <f t="shared" si="205"/>
        <v>0</v>
      </c>
      <c r="U593" s="91">
        <f t="shared" si="205"/>
        <v>0</v>
      </c>
      <c r="V593" s="91">
        <f t="shared" si="205"/>
        <v>0</v>
      </c>
      <c r="W593" s="91">
        <f t="shared" si="205"/>
        <v>0</v>
      </c>
      <c r="X593" s="91">
        <f t="shared" si="205"/>
        <v>0</v>
      </c>
      <c r="Y593" s="91">
        <f t="shared" si="205"/>
        <v>0</v>
      </c>
      <c r="AQ593" s="3"/>
    </row>
    <row r="594" spans="5:43" x14ac:dyDescent="0.35">
      <c r="E594" s="62" t="s">
        <v>250</v>
      </c>
      <c r="F594" s="2"/>
      <c r="J594" s="22"/>
      <c r="K594" s="22"/>
      <c r="L594" s="22"/>
      <c r="M594" s="22"/>
      <c r="N594" s="22"/>
      <c r="O594" s="22"/>
      <c r="P594" s="22"/>
      <c r="Q594" s="22"/>
      <c r="R594" s="22"/>
      <c r="S594" s="22"/>
      <c r="T594" s="22"/>
      <c r="U594" s="22"/>
      <c r="V594" s="22"/>
      <c r="W594" s="22"/>
      <c r="X594" s="22"/>
      <c r="Y594" s="22"/>
      <c r="AQ594" s="3"/>
    </row>
    <row r="595" spans="5:43" x14ac:dyDescent="0.35">
      <c r="E595" s="336"/>
      <c r="F595" s="2" t="s">
        <v>978</v>
      </c>
      <c r="G595" t="s">
        <v>251</v>
      </c>
      <c r="J595" s="121">
        <f>J109</f>
        <v>0</v>
      </c>
      <c r="K595" s="121">
        <f t="shared" ref="K595:Y595" si="206">K109</f>
        <v>0</v>
      </c>
      <c r="L595" s="121">
        <f t="shared" si="206"/>
        <v>0</v>
      </c>
      <c r="M595" s="121">
        <f t="shared" si="206"/>
        <v>0</v>
      </c>
      <c r="N595" s="121">
        <f t="shared" si="206"/>
        <v>0</v>
      </c>
      <c r="O595" s="121">
        <f t="shared" si="206"/>
        <v>0</v>
      </c>
      <c r="P595" s="121">
        <f t="shared" si="206"/>
        <v>0</v>
      </c>
      <c r="Q595" s="121">
        <f t="shared" si="206"/>
        <v>0</v>
      </c>
      <c r="R595" s="121">
        <f t="shared" si="206"/>
        <v>0</v>
      </c>
      <c r="S595" s="121">
        <f t="shared" si="206"/>
        <v>0</v>
      </c>
      <c r="T595" s="121">
        <f t="shared" si="206"/>
        <v>0</v>
      </c>
      <c r="U595" s="121">
        <f t="shared" si="206"/>
        <v>0</v>
      </c>
      <c r="V595" s="121">
        <f t="shared" si="206"/>
        <v>0</v>
      </c>
      <c r="W595" s="121">
        <f t="shared" si="206"/>
        <v>0</v>
      </c>
      <c r="X595" s="121">
        <f t="shared" si="206"/>
        <v>0</v>
      </c>
      <c r="Y595" s="121">
        <f t="shared" si="206"/>
        <v>0</v>
      </c>
      <c r="AQ595" s="3"/>
    </row>
    <row r="596" spans="5:43" x14ac:dyDescent="0.35">
      <c r="E596" s="336"/>
      <c r="F596" s="2" t="s">
        <v>979</v>
      </c>
      <c r="G596" t="s">
        <v>251</v>
      </c>
      <c r="J596" s="346">
        <f>J118</f>
        <v>0</v>
      </c>
      <c r="K596" s="346">
        <f t="shared" ref="K596:Y596" si="207">K118</f>
        <v>0</v>
      </c>
      <c r="L596" s="346">
        <f t="shared" si="207"/>
        <v>0</v>
      </c>
      <c r="M596" s="346">
        <f t="shared" si="207"/>
        <v>0</v>
      </c>
      <c r="N596" s="346">
        <f t="shared" si="207"/>
        <v>3317.1094502191418</v>
      </c>
      <c r="O596" s="346">
        <f t="shared" si="207"/>
        <v>0</v>
      </c>
      <c r="P596" s="346">
        <f t="shared" si="207"/>
        <v>0</v>
      </c>
      <c r="Q596" s="346">
        <f t="shared" si="207"/>
        <v>0</v>
      </c>
      <c r="R596" s="346">
        <f t="shared" si="207"/>
        <v>0</v>
      </c>
      <c r="S596" s="346">
        <f t="shared" si="207"/>
        <v>0</v>
      </c>
      <c r="T596" s="346">
        <f t="shared" si="207"/>
        <v>0</v>
      </c>
      <c r="U596" s="346">
        <f t="shared" si="207"/>
        <v>0</v>
      </c>
      <c r="V596" s="346">
        <f t="shared" si="207"/>
        <v>0</v>
      </c>
      <c r="W596" s="346">
        <f t="shared" si="207"/>
        <v>0</v>
      </c>
      <c r="X596" s="346">
        <f t="shared" si="207"/>
        <v>0</v>
      </c>
      <c r="Y596" s="346">
        <f t="shared" si="207"/>
        <v>0</v>
      </c>
      <c r="AQ596" s="3"/>
    </row>
    <row r="597" spans="5:43" x14ac:dyDescent="0.35">
      <c r="E597" s="336"/>
      <c r="F597" s="2" t="s">
        <v>980</v>
      </c>
      <c r="G597" t="s">
        <v>251</v>
      </c>
      <c r="J597" s="346">
        <f>J127</f>
        <v>0</v>
      </c>
      <c r="K597" s="346">
        <f t="shared" ref="K597:Y597" si="208">K127</f>
        <v>0</v>
      </c>
      <c r="L597" s="346">
        <f t="shared" si="208"/>
        <v>0</v>
      </c>
      <c r="M597" s="346">
        <f t="shared" si="208"/>
        <v>0</v>
      </c>
      <c r="N597" s="346">
        <f t="shared" si="208"/>
        <v>8793.0053193046151</v>
      </c>
      <c r="O597" s="346">
        <f t="shared" si="208"/>
        <v>0</v>
      </c>
      <c r="P597" s="346">
        <f t="shared" si="208"/>
        <v>0</v>
      </c>
      <c r="Q597" s="346">
        <f t="shared" si="208"/>
        <v>0</v>
      </c>
      <c r="R597" s="346">
        <f t="shared" si="208"/>
        <v>0</v>
      </c>
      <c r="S597" s="346">
        <f t="shared" si="208"/>
        <v>0</v>
      </c>
      <c r="T597" s="346">
        <f t="shared" si="208"/>
        <v>0</v>
      </c>
      <c r="U597" s="346">
        <f t="shared" si="208"/>
        <v>0</v>
      </c>
      <c r="V597" s="346">
        <f t="shared" si="208"/>
        <v>0</v>
      </c>
      <c r="W597" s="346">
        <f t="shared" si="208"/>
        <v>0</v>
      </c>
      <c r="X597" s="346">
        <f t="shared" si="208"/>
        <v>0</v>
      </c>
      <c r="Y597" s="346">
        <f t="shared" si="208"/>
        <v>0</v>
      </c>
      <c r="AQ597" s="3"/>
    </row>
    <row r="598" spans="5:43" x14ac:dyDescent="0.35">
      <c r="E598" s="336"/>
      <c r="F598" s="2" t="s">
        <v>982</v>
      </c>
      <c r="G598" t="s">
        <v>251</v>
      </c>
      <c r="J598" s="91">
        <f>J136</f>
        <v>0</v>
      </c>
      <c r="K598" s="91">
        <f t="shared" ref="K598:Y598" si="209">K136</f>
        <v>0</v>
      </c>
      <c r="L598" s="91">
        <f t="shared" si="209"/>
        <v>0</v>
      </c>
      <c r="M598" s="91">
        <f t="shared" si="209"/>
        <v>0</v>
      </c>
      <c r="N598" s="91">
        <f t="shared" si="209"/>
        <v>14806.206127328769</v>
      </c>
      <c r="O598" s="91">
        <f t="shared" si="209"/>
        <v>0</v>
      </c>
      <c r="P598" s="91">
        <f t="shared" si="209"/>
        <v>0</v>
      </c>
      <c r="Q598" s="91">
        <f t="shared" si="209"/>
        <v>0</v>
      </c>
      <c r="R598" s="91">
        <f t="shared" si="209"/>
        <v>0</v>
      </c>
      <c r="S598" s="91">
        <f t="shared" si="209"/>
        <v>0</v>
      </c>
      <c r="T598" s="91">
        <f t="shared" si="209"/>
        <v>0</v>
      </c>
      <c r="U598" s="91">
        <f t="shared" si="209"/>
        <v>0</v>
      </c>
      <c r="V598" s="91">
        <f t="shared" si="209"/>
        <v>0</v>
      </c>
      <c r="W598" s="91">
        <f t="shared" si="209"/>
        <v>0</v>
      </c>
      <c r="X598" s="91">
        <f t="shared" si="209"/>
        <v>0</v>
      </c>
      <c r="Y598" s="91">
        <f t="shared" si="209"/>
        <v>0</v>
      </c>
      <c r="AQ598" s="3"/>
    </row>
    <row r="599" spans="5:43" x14ac:dyDescent="0.35">
      <c r="E599" s="336"/>
      <c r="F599" s="2" t="s">
        <v>981</v>
      </c>
      <c r="G599" t="s">
        <v>251</v>
      </c>
      <c r="J599" s="91">
        <f>J145</f>
        <v>0</v>
      </c>
      <c r="K599" s="91">
        <f t="shared" ref="K599:Y599" si="210">K145</f>
        <v>0</v>
      </c>
      <c r="L599" s="91">
        <f t="shared" si="210"/>
        <v>0</v>
      </c>
      <c r="M599" s="91">
        <f t="shared" si="210"/>
        <v>0</v>
      </c>
      <c r="N599" s="91">
        <f t="shared" si="210"/>
        <v>8205.519060271472</v>
      </c>
      <c r="O599" s="91">
        <f t="shared" si="210"/>
        <v>0</v>
      </c>
      <c r="P599" s="91">
        <f t="shared" si="210"/>
        <v>0</v>
      </c>
      <c r="Q599" s="91">
        <f t="shared" si="210"/>
        <v>0</v>
      </c>
      <c r="R599" s="91">
        <f t="shared" si="210"/>
        <v>0</v>
      </c>
      <c r="S599" s="91">
        <f t="shared" si="210"/>
        <v>0</v>
      </c>
      <c r="T599" s="91">
        <f t="shared" si="210"/>
        <v>0</v>
      </c>
      <c r="U599" s="91">
        <f t="shared" si="210"/>
        <v>0</v>
      </c>
      <c r="V599" s="91">
        <f t="shared" si="210"/>
        <v>0</v>
      </c>
      <c r="W599" s="91">
        <f t="shared" si="210"/>
        <v>0</v>
      </c>
      <c r="X599" s="91">
        <f t="shared" si="210"/>
        <v>0</v>
      </c>
      <c r="Y599" s="91">
        <f t="shared" si="210"/>
        <v>0</v>
      </c>
      <c r="AQ599" s="3"/>
    </row>
    <row r="600" spans="5:43" x14ac:dyDescent="0.35">
      <c r="E600" s="62" t="s">
        <v>252</v>
      </c>
      <c r="F600" s="2"/>
      <c r="J600" s="22"/>
      <c r="K600" s="22"/>
      <c r="L600" s="22"/>
      <c r="M600" s="22"/>
      <c r="N600" s="22"/>
      <c r="O600" s="22"/>
      <c r="P600" s="22"/>
      <c r="Q600" s="22"/>
      <c r="R600" s="22"/>
      <c r="S600" s="22"/>
      <c r="T600" s="22"/>
      <c r="U600" s="22"/>
      <c r="V600" s="22"/>
      <c r="W600" s="22"/>
      <c r="X600" s="22"/>
      <c r="Y600" s="22"/>
      <c r="AQ600" s="3"/>
    </row>
    <row r="601" spans="5:43" x14ac:dyDescent="0.35">
      <c r="E601" s="336"/>
      <c r="F601" s="2" t="s">
        <v>978</v>
      </c>
      <c r="G601" t="s">
        <v>251</v>
      </c>
      <c r="J601" s="121">
        <f>J110</f>
        <v>0</v>
      </c>
      <c r="K601" s="121">
        <f t="shared" ref="K601:Y601" si="211">K110</f>
        <v>0</v>
      </c>
      <c r="L601" s="121">
        <f t="shared" si="211"/>
        <v>0</v>
      </c>
      <c r="M601" s="121">
        <f t="shared" si="211"/>
        <v>0</v>
      </c>
      <c r="N601" s="121">
        <f t="shared" si="211"/>
        <v>0</v>
      </c>
      <c r="O601" s="121">
        <f t="shared" si="211"/>
        <v>0</v>
      </c>
      <c r="P601" s="121">
        <f t="shared" si="211"/>
        <v>0</v>
      </c>
      <c r="Q601" s="121">
        <f t="shared" si="211"/>
        <v>0</v>
      </c>
      <c r="R601" s="121">
        <f t="shared" si="211"/>
        <v>0</v>
      </c>
      <c r="S601" s="121">
        <f t="shared" si="211"/>
        <v>0</v>
      </c>
      <c r="T601" s="121">
        <f t="shared" si="211"/>
        <v>0</v>
      </c>
      <c r="U601" s="121">
        <f t="shared" si="211"/>
        <v>0</v>
      </c>
      <c r="V601" s="121">
        <f t="shared" si="211"/>
        <v>0</v>
      </c>
      <c r="W601" s="121">
        <f t="shared" si="211"/>
        <v>0</v>
      </c>
      <c r="X601" s="121">
        <f t="shared" si="211"/>
        <v>0</v>
      </c>
      <c r="Y601" s="121">
        <f t="shared" si="211"/>
        <v>0</v>
      </c>
      <c r="AQ601" s="3"/>
    </row>
    <row r="602" spans="5:43" x14ac:dyDescent="0.35">
      <c r="E602" s="336"/>
      <c r="F602" s="2" t="s">
        <v>979</v>
      </c>
      <c r="G602" t="s">
        <v>251</v>
      </c>
      <c r="J602" s="346">
        <f>J119</f>
        <v>0</v>
      </c>
      <c r="K602" s="346">
        <f t="shared" ref="K602:Y602" si="212">K119</f>
        <v>0</v>
      </c>
      <c r="L602" s="346">
        <f t="shared" si="212"/>
        <v>0</v>
      </c>
      <c r="M602" s="346">
        <f t="shared" si="212"/>
        <v>0</v>
      </c>
      <c r="N602" s="346">
        <f t="shared" si="212"/>
        <v>7.1938587981151887</v>
      </c>
      <c r="O602" s="346">
        <f t="shared" si="212"/>
        <v>0</v>
      </c>
      <c r="P602" s="346">
        <f t="shared" si="212"/>
        <v>0</v>
      </c>
      <c r="Q602" s="346">
        <f t="shared" si="212"/>
        <v>0</v>
      </c>
      <c r="R602" s="346">
        <f t="shared" si="212"/>
        <v>0</v>
      </c>
      <c r="S602" s="346">
        <f t="shared" si="212"/>
        <v>0</v>
      </c>
      <c r="T602" s="346">
        <f t="shared" si="212"/>
        <v>0</v>
      </c>
      <c r="U602" s="346">
        <f t="shared" si="212"/>
        <v>0</v>
      </c>
      <c r="V602" s="346">
        <f t="shared" si="212"/>
        <v>0</v>
      </c>
      <c r="W602" s="346">
        <f t="shared" si="212"/>
        <v>0</v>
      </c>
      <c r="X602" s="346">
        <f t="shared" si="212"/>
        <v>0</v>
      </c>
      <c r="Y602" s="346">
        <f t="shared" si="212"/>
        <v>0</v>
      </c>
      <c r="AQ602" s="3"/>
    </row>
    <row r="603" spans="5:43" x14ac:dyDescent="0.35">
      <c r="E603" s="336"/>
      <c r="F603" s="2" t="s">
        <v>980</v>
      </c>
      <c r="G603" t="s">
        <v>251</v>
      </c>
      <c r="J603" s="346">
        <f>J128</f>
        <v>0</v>
      </c>
      <c r="K603" s="346">
        <f t="shared" ref="K603:Y603" si="213">K128</f>
        <v>0</v>
      </c>
      <c r="L603" s="346">
        <f t="shared" si="213"/>
        <v>0</v>
      </c>
      <c r="M603" s="346">
        <f t="shared" si="213"/>
        <v>0</v>
      </c>
      <c r="N603" s="346">
        <f t="shared" si="213"/>
        <v>19.069506034530825</v>
      </c>
      <c r="O603" s="346">
        <f t="shared" si="213"/>
        <v>0</v>
      </c>
      <c r="P603" s="346">
        <f t="shared" si="213"/>
        <v>0</v>
      </c>
      <c r="Q603" s="346">
        <f t="shared" si="213"/>
        <v>0</v>
      </c>
      <c r="R603" s="346">
        <f t="shared" si="213"/>
        <v>0</v>
      </c>
      <c r="S603" s="346">
        <f t="shared" si="213"/>
        <v>0</v>
      </c>
      <c r="T603" s="346">
        <f t="shared" si="213"/>
        <v>0</v>
      </c>
      <c r="U603" s="346">
        <f t="shared" si="213"/>
        <v>0</v>
      </c>
      <c r="V603" s="346">
        <f t="shared" si="213"/>
        <v>0</v>
      </c>
      <c r="W603" s="346">
        <f t="shared" si="213"/>
        <v>0</v>
      </c>
      <c r="X603" s="346">
        <f t="shared" si="213"/>
        <v>0</v>
      </c>
      <c r="Y603" s="346">
        <f t="shared" si="213"/>
        <v>0</v>
      </c>
      <c r="AQ603" s="3"/>
    </row>
    <row r="604" spans="5:43" x14ac:dyDescent="0.35">
      <c r="E604" s="336"/>
      <c r="F604" s="2" t="s">
        <v>982</v>
      </c>
      <c r="G604" t="s">
        <v>251</v>
      </c>
      <c r="J604" s="91">
        <f>J137</f>
        <v>0</v>
      </c>
      <c r="K604" s="91">
        <f t="shared" ref="K604:Y604" si="214">K137</f>
        <v>0</v>
      </c>
      <c r="L604" s="91">
        <f t="shared" si="214"/>
        <v>0</v>
      </c>
      <c r="M604" s="91">
        <f t="shared" si="214"/>
        <v>0</v>
      </c>
      <c r="N604" s="91">
        <f t="shared" si="214"/>
        <v>32.110413543561052</v>
      </c>
      <c r="O604" s="91">
        <f t="shared" si="214"/>
        <v>0</v>
      </c>
      <c r="P604" s="91">
        <f t="shared" si="214"/>
        <v>0</v>
      </c>
      <c r="Q604" s="91">
        <f t="shared" si="214"/>
        <v>0</v>
      </c>
      <c r="R604" s="91">
        <f t="shared" si="214"/>
        <v>0</v>
      </c>
      <c r="S604" s="91">
        <f t="shared" si="214"/>
        <v>0</v>
      </c>
      <c r="T604" s="91">
        <f t="shared" si="214"/>
        <v>0</v>
      </c>
      <c r="U604" s="91">
        <f t="shared" si="214"/>
        <v>0</v>
      </c>
      <c r="V604" s="91">
        <f t="shared" si="214"/>
        <v>0</v>
      </c>
      <c r="W604" s="91">
        <f t="shared" si="214"/>
        <v>0</v>
      </c>
      <c r="X604" s="91">
        <f t="shared" si="214"/>
        <v>0</v>
      </c>
      <c r="Y604" s="91">
        <f t="shared" si="214"/>
        <v>0</v>
      </c>
      <c r="AQ604" s="3"/>
    </row>
    <row r="605" spans="5:43" x14ac:dyDescent="0.35">
      <c r="E605" s="336"/>
      <c r="F605" s="2" t="s">
        <v>981</v>
      </c>
      <c r="G605" t="s">
        <v>251</v>
      </c>
      <c r="J605" s="91">
        <f>J146</f>
        <v>0</v>
      </c>
      <c r="K605" s="91">
        <f t="shared" ref="K605:Y605" si="215">K146</f>
        <v>0</v>
      </c>
      <c r="L605" s="91">
        <f t="shared" si="215"/>
        <v>0</v>
      </c>
      <c r="M605" s="91">
        <f t="shared" si="215"/>
        <v>0</v>
      </c>
      <c r="N605" s="91">
        <f t="shared" si="215"/>
        <v>17.795416874452567</v>
      </c>
      <c r="O605" s="91">
        <f t="shared" si="215"/>
        <v>0</v>
      </c>
      <c r="P605" s="91">
        <f t="shared" si="215"/>
        <v>0</v>
      </c>
      <c r="Q605" s="91">
        <f t="shared" si="215"/>
        <v>0</v>
      </c>
      <c r="R605" s="91">
        <f t="shared" si="215"/>
        <v>0</v>
      </c>
      <c r="S605" s="91">
        <f t="shared" si="215"/>
        <v>0</v>
      </c>
      <c r="T605" s="91">
        <f t="shared" si="215"/>
        <v>0</v>
      </c>
      <c r="U605" s="91">
        <f t="shared" si="215"/>
        <v>0</v>
      </c>
      <c r="V605" s="91">
        <f t="shared" si="215"/>
        <v>0</v>
      </c>
      <c r="W605" s="91">
        <f t="shared" si="215"/>
        <v>0</v>
      </c>
      <c r="X605" s="91">
        <f t="shared" si="215"/>
        <v>0</v>
      </c>
      <c r="Y605" s="91">
        <f t="shared" si="215"/>
        <v>0</v>
      </c>
      <c r="AQ605" s="3"/>
    </row>
    <row r="606" spans="5:43" x14ac:dyDescent="0.35">
      <c r="E606" s="336" t="s">
        <v>253</v>
      </c>
      <c r="F606" s="2"/>
      <c r="J606" s="22"/>
      <c r="K606" s="22"/>
      <c r="L606" s="22"/>
      <c r="M606" s="22"/>
      <c r="N606" s="22"/>
      <c r="O606" s="22"/>
      <c r="P606" s="22"/>
      <c r="Q606" s="22"/>
      <c r="R606" s="22"/>
      <c r="S606" s="22"/>
      <c r="T606" s="22"/>
      <c r="U606" s="22"/>
      <c r="V606" s="22"/>
      <c r="W606" s="22"/>
      <c r="X606" s="22"/>
      <c r="Y606" s="22"/>
      <c r="AQ606" s="3"/>
    </row>
    <row r="607" spans="5:43" x14ac:dyDescent="0.35">
      <c r="E607" s="336"/>
      <c r="F607" s="2" t="s">
        <v>978</v>
      </c>
      <c r="G607" t="s">
        <v>254</v>
      </c>
      <c r="J607" s="121">
        <f>J111</f>
        <v>0</v>
      </c>
      <c r="K607" s="121">
        <f t="shared" ref="K607:Y607" si="216">K111</f>
        <v>0</v>
      </c>
      <c r="L607" s="121">
        <f t="shared" si="216"/>
        <v>0</v>
      </c>
      <c r="M607" s="121">
        <f t="shared" si="216"/>
        <v>0</v>
      </c>
      <c r="N607" s="121">
        <f t="shared" si="216"/>
        <v>0</v>
      </c>
      <c r="O607" s="121">
        <f t="shared" si="216"/>
        <v>0</v>
      </c>
      <c r="P607" s="121">
        <f t="shared" si="216"/>
        <v>0</v>
      </c>
      <c r="Q607" s="121">
        <f t="shared" si="216"/>
        <v>0</v>
      </c>
      <c r="R607" s="121">
        <f t="shared" si="216"/>
        <v>0</v>
      </c>
      <c r="S607" s="121">
        <f t="shared" si="216"/>
        <v>0</v>
      </c>
      <c r="T607" s="121">
        <f t="shared" si="216"/>
        <v>1.3384781668828363</v>
      </c>
      <c r="U607" s="121">
        <f t="shared" si="216"/>
        <v>0</v>
      </c>
      <c r="V607" s="121">
        <f t="shared" si="216"/>
        <v>0</v>
      </c>
      <c r="W607" s="121">
        <f t="shared" si="216"/>
        <v>0</v>
      </c>
      <c r="X607" s="121">
        <f t="shared" si="216"/>
        <v>0</v>
      </c>
      <c r="Y607" s="121">
        <f t="shared" si="216"/>
        <v>0</v>
      </c>
      <c r="AQ607" s="3"/>
    </row>
    <row r="608" spans="5:43" x14ac:dyDescent="0.35">
      <c r="E608" s="336"/>
      <c r="F608" s="2" t="s">
        <v>979</v>
      </c>
      <c r="G608" t="s">
        <v>254</v>
      </c>
      <c r="J608" s="346">
        <f>J120</f>
        <v>0</v>
      </c>
      <c r="K608" s="346">
        <f t="shared" ref="K608:Y608" si="217">K120</f>
        <v>0</v>
      </c>
      <c r="L608" s="346">
        <f t="shared" si="217"/>
        <v>0</v>
      </c>
      <c r="M608" s="346">
        <f t="shared" si="217"/>
        <v>0</v>
      </c>
      <c r="N608" s="346">
        <f t="shared" si="217"/>
        <v>256.6441034040792</v>
      </c>
      <c r="O608" s="346">
        <f t="shared" si="217"/>
        <v>0</v>
      </c>
      <c r="P608" s="346">
        <f t="shared" si="217"/>
        <v>0</v>
      </c>
      <c r="Q608" s="346">
        <f t="shared" si="217"/>
        <v>0</v>
      </c>
      <c r="R608" s="346">
        <f t="shared" si="217"/>
        <v>0</v>
      </c>
      <c r="S608" s="346">
        <f t="shared" si="217"/>
        <v>0</v>
      </c>
      <c r="T608" s="346">
        <f t="shared" si="217"/>
        <v>0</v>
      </c>
      <c r="U608" s="346">
        <f t="shared" si="217"/>
        <v>0</v>
      </c>
      <c r="V608" s="346">
        <f t="shared" si="217"/>
        <v>0</v>
      </c>
      <c r="W608" s="346">
        <f t="shared" si="217"/>
        <v>0</v>
      </c>
      <c r="X608" s="346">
        <f t="shared" si="217"/>
        <v>0</v>
      </c>
      <c r="Y608" s="346">
        <f t="shared" si="217"/>
        <v>0</v>
      </c>
      <c r="AQ608" s="3"/>
    </row>
    <row r="609" spans="4:43" x14ac:dyDescent="0.35">
      <c r="E609" s="336"/>
      <c r="F609" s="2" t="s">
        <v>980</v>
      </c>
      <c r="G609" t="s">
        <v>254</v>
      </c>
      <c r="J609" s="346">
        <f>J129</f>
        <v>0</v>
      </c>
      <c r="K609" s="346">
        <f t="shared" ref="K609:Y609" si="218">K129</f>
        <v>0</v>
      </c>
      <c r="L609" s="346">
        <f t="shared" si="218"/>
        <v>0</v>
      </c>
      <c r="M609" s="346">
        <f t="shared" si="218"/>
        <v>0</v>
      </c>
      <c r="N609" s="346">
        <f t="shared" si="218"/>
        <v>680.31308591615721</v>
      </c>
      <c r="O609" s="346">
        <f t="shared" si="218"/>
        <v>0</v>
      </c>
      <c r="P609" s="346">
        <f t="shared" si="218"/>
        <v>0</v>
      </c>
      <c r="Q609" s="346">
        <f t="shared" si="218"/>
        <v>0</v>
      </c>
      <c r="R609" s="346">
        <f t="shared" si="218"/>
        <v>0</v>
      </c>
      <c r="S609" s="346">
        <f t="shared" si="218"/>
        <v>0</v>
      </c>
      <c r="T609" s="346">
        <f t="shared" si="218"/>
        <v>0</v>
      </c>
      <c r="U609" s="346">
        <f t="shared" si="218"/>
        <v>0</v>
      </c>
      <c r="V609" s="346">
        <f t="shared" si="218"/>
        <v>0</v>
      </c>
      <c r="W609" s="346">
        <f t="shared" si="218"/>
        <v>0</v>
      </c>
      <c r="X609" s="346">
        <f t="shared" si="218"/>
        <v>0</v>
      </c>
      <c r="Y609" s="346">
        <f t="shared" si="218"/>
        <v>0</v>
      </c>
      <c r="AQ609" s="3"/>
    </row>
    <row r="610" spans="4:43" x14ac:dyDescent="0.35">
      <c r="E610" s="336"/>
      <c r="F610" s="2" t="s">
        <v>982</v>
      </c>
      <c r="G610" t="s">
        <v>254</v>
      </c>
      <c r="J610" s="91">
        <f>J138</f>
        <v>0</v>
      </c>
      <c r="K610" s="91">
        <f t="shared" ref="K610:Y610" si="219">K138</f>
        <v>0</v>
      </c>
      <c r="L610" s="91">
        <f t="shared" si="219"/>
        <v>0</v>
      </c>
      <c r="M610" s="91">
        <f t="shared" si="219"/>
        <v>0</v>
      </c>
      <c r="N610" s="91">
        <f t="shared" si="219"/>
        <v>1145.5532454960862</v>
      </c>
      <c r="O610" s="91">
        <f t="shared" si="219"/>
        <v>0</v>
      </c>
      <c r="P610" s="91">
        <f t="shared" si="219"/>
        <v>0</v>
      </c>
      <c r="Q610" s="91">
        <f t="shared" si="219"/>
        <v>0</v>
      </c>
      <c r="R610" s="91">
        <f t="shared" si="219"/>
        <v>0</v>
      </c>
      <c r="S610" s="91">
        <f t="shared" si="219"/>
        <v>0</v>
      </c>
      <c r="T610" s="91">
        <f t="shared" si="219"/>
        <v>0</v>
      </c>
      <c r="U610" s="91">
        <f t="shared" si="219"/>
        <v>0</v>
      </c>
      <c r="V610" s="91">
        <f t="shared" si="219"/>
        <v>0</v>
      </c>
      <c r="W610" s="91">
        <f t="shared" si="219"/>
        <v>0</v>
      </c>
      <c r="X610" s="91">
        <f t="shared" si="219"/>
        <v>0</v>
      </c>
      <c r="Y610" s="91">
        <f t="shared" si="219"/>
        <v>0</v>
      </c>
      <c r="AQ610" s="3"/>
    </row>
    <row r="611" spans="4:43" x14ac:dyDescent="0.35">
      <c r="E611" s="70"/>
      <c r="F611" s="337" t="s">
        <v>981</v>
      </c>
      <c r="G611" s="28" t="s">
        <v>254</v>
      </c>
      <c r="H611" s="28"/>
      <c r="I611" s="28"/>
      <c r="J611" s="346">
        <f>J147</f>
        <v>0</v>
      </c>
      <c r="K611" s="346">
        <f t="shared" ref="K611:Y611" si="220">K147</f>
        <v>0</v>
      </c>
      <c r="L611" s="346">
        <f t="shared" si="220"/>
        <v>0</v>
      </c>
      <c r="M611" s="346">
        <f t="shared" si="220"/>
        <v>0</v>
      </c>
      <c r="N611" s="346">
        <f t="shared" si="220"/>
        <v>634.85939001781514</v>
      </c>
      <c r="O611" s="346">
        <f t="shared" si="220"/>
        <v>0</v>
      </c>
      <c r="P611" s="346">
        <f t="shared" si="220"/>
        <v>0</v>
      </c>
      <c r="Q611" s="346">
        <f t="shared" si="220"/>
        <v>0</v>
      </c>
      <c r="R611" s="346">
        <f t="shared" si="220"/>
        <v>0</v>
      </c>
      <c r="S611" s="346">
        <f t="shared" si="220"/>
        <v>0</v>
      </c>
      <c r="T611" s="346">
        <f t="shared" si="220"/>
        <v>0</v>
      </c>
      <c r="U611" s="346">
        <f t="shared" si="220"/>
        <v>0</v>
      </c>
      <c r="V611" s="346">
        <f t="shared" si="220"/>
        <v>0</v>
      </c>
      <c r="W611" s="346">
        <f t="shared" si="220"/>
        <v>0</v>
      </c>
      <c r="X611" s="346">
        <f t="shared" si="220"/>
        <v>0</v>
      </c>
      <c r="Y611" s="346">
        <f t="shared" si="220"/>
        <v>0</v>
      </c>
      <c r="AQ611" s="3"/>
    </row>
    <row r="612" spans="4:43" x14ac:dyDescent="0.35">
      <c r="AQ612" s="3"/>
    </row>
    <row r="613" spans="4:43" x14ac:dyDescent="0.35">
      <c r="D613" s="27" t="s">
        <v>1132</v>
      </c>
      <c r="AQ613" s="3"/>
    </row>
    <row r="614" spans="4:43" x14ac:dyDescent="0.35">
      <c r="E614" s="68" t="s">
        <v>247</v>
      </c>
      <c r="F614" s="19"/>
      <c r="G614" s="19"/>
      <c r="H614" s="19"/>
      <c r="I614" s="19"/>
      <c r="J614" s="19"/>
      <c r="K614" s="19"/>
      <c r="L614" s="19"/>
      <c r="M614" s="19"/>
      <c r="N614" s="19"/>
      <c r="O614" s="19"/>
      <c r="P614" s="19"/>
      <c r="Q614" s="19"/>
      <c r="R614" s="19"/>
      <c r="S614" s="19"/>
      <c r="T614" s="19"/>
      <c r="U614" s="19"/>
      <c r="V614" s="19"/>
      <c r="W614" s="19"/>
      <c r="X614" s="19"/>
      <c r="Y614" s="19"/>
      <c r="AQ614" s="3"/>
    </row>
    <row r="615" spans="4:43" x14ac:dyDescent="0.35">
      <c r="E615" s="336"/>
      <c r="F615" s="2" t="s">
        <v>978</v>
      </c>
      <c r="G615" t="s">
        <v>207</v>
      </c>
      <c r="J615" s="121">
        <f>J152</f>
        <v>0</v>
      </c>
      <c r="K615" s="121">
        <f t="shared" ref="K615:Y615" si="221">K152</f>
        <v>129.02316403377972</v>
      </c>
      <c r="L615" s="121">
        <f t="shared" si="221"/>
        <v>560.65757017340411</v>
      </c>
      <c r="M615" s="121">
        <f t="shared" si="221"/>
        <v>28.165165011299294</v>
      </c>
      <c r="N615" s="121">
        <f t="shared" si="221"/>
        <v>0</v>
      </c>
      <c r="O615" s="121">
        <f t="shared" si="221"/>
        <v>0</v>
      </c>
      <c r="P615" s="121">
        <f t="shared" si="221"/>
        <v>0</v>
      </c>
      <c r="Q615" s="121">
        <f t="shared" si="221"/>
        <v>0</v>
      </c>
      <c r="R615" s="121">
        <f t="shared" si="221"/>
        <v>0.13300000000000001</v>
      </c>
      <c r="S615" s="121">
        <f t="shared" si="221"/>
        <v>15.433999999999999</v>
      </c>
      <c r="T615" s="121">
        <f t="shared" si="221"/>
        <v>1327.0888980075765</v>
      </c>
      <c r="U615" s="121">
        <f t="shared" si="221"/>
        <v>0</v>
      </c>
      <c r="V615" s="121">
        <f t="shared" si="221"/>
        <v>0</v>
      </c>
      <c r="W615" s="121">
        <f t="shared" si="221"/>
        <v>0</v>
      </c>
      <c r="X615" s="121">
        <f t="shared" si="221"/>
        <v>26.351155247183883</v>
      </c>
      <c r="Y615" s="121">
        <f t="shared" si="221"/>
        <v>0</v>
      </c>
      <c r="AQ615" s="3"/>
    </row>
    <row r="616" spans="4:43" x14ac:dyDescent="0.35">
      <c r="E616" s="336"/>
      <c r="F616" s="2" t="s">
        <v>979</v>
      </c>
      <c r="G616" t="s">
        <v>207</v>
      </c>
      <c r="J616" s="346">
        <f>J161</f>
        <v>25936.063443617171</v>
      </c>
      <c r="K616" s="346">
        <f t="shared" ref="K616:Y616" si="222">K161</f>
        <v>0</v>
      </c>
      <c r="L616" s="346">
        <f t="shared" si="222"/>
        <v>323.96872396016852</v>
      </c>
      <c r="M616" s="346">
        <f t="shared" si="222"/>
        <v>0</v>
      </c>
      <c r="N616" s="346">
        <f t="shared" si="222"/>
        <v>2008.6163210234347</v>
      </c>
      <c r="O616" s="346">
        <f t="shared" si="222"/>
        <v>1139.0228522073685</v>
      </c>
      <c r="P616" s="346">
        <f t="shared" si="222"/>
        <v>430.548447011615</v>
      </c>
      <c r="Q616" s="346">
        <f t="shared" si="222"/>
        <v>125.108</v>
      </c>
      <c r="R616" s="346">
        <f t="shared" si="222"/>
        <v>0</v>
      </c>
      <c r="S616" s="346">
        <f t="shared" si="222"/>
        <v>0</v>
      </c>
      <c r="T616" s="346">
        <f t="shared" si="222"/>
        <v>0</v>
      </c>
      <c r="U616" s="346">
        <f t="shared" si="222"/>
        <v>0</v>
      </c>
      <c r="V616" s="346">
        <f t="shared" si="222"/>
        <v>0</v>
      </c>
      <c r="W616" s="346">
        <f t="shared" si="222"/>
        <v>0</v>
      </c>
      <c r="X616" s="346">
        <f t="shared" si="222"/>
        <v>0</v>
      </c>
      <c r="Y616" s="346">
        <f t="shared" si="222"/>
        <v>0</v>
      </c>
      <c r="AQ616" s="3"/>
    </row>
    <row r="617" spans="4:43" x14ac:dyDescent="0.35">
      <c r="E617" s="336"/>
      <c r="F617" s="2" t="s">
        <v>980</v>
      </c>
      <c r="G617" t="s">
        <v>207</v>
      </c>
      <c r="J617" s="346">
        <f>J170</f>
        <v>0</v>
      </c>
      <c r="K617" s="346">
        <f t="shared" ref="K617:Y617" si="223">K170</f>
        <v>0</v>
      </c>
      <c r="L617" s="346">
        <f t="shared" si="223"/>
        <v>718.45912061290528</v>
      </c>
      <c r="M617" s="346">
        <f t="shared" si="223"/>
        <v>0</v>
      </c>
      <c r="N617" s="346">
        <f t="shared" si="223"/>
        <v>2585.6824116106486</v>
      </c>
      <c r="O617" s="346">
        <f t="shared" si="223"/>
        <v>8.043368109058223</v>
      </c>
      <c r="P617" s="346">
        <f t="shared" si="223"/>
        <v>815.44886893662465</v>
      </c>
      <c r="Q617" s="346">
        <f t="shared" si="223"/>
        <v>0</v>
      </c>
      <c r="R617" s="346">
        <f t="shared" si="223"/>
        <v>0</v>
      </c>
      <c r="S617" s="346">
        <f t="shared" si="223"/>
        <v>0</v>
      </c>
      <c r="T617" s="346">
        <f t="shared" si="223"/>
        <v>0</v>
      </c>
      <c r="U617" s="346">
        <f t="shared" si="223"/>
        <v>0</v>
      </c>
      <c r="V617" s="346">
        <f t="shared" si="223"/>
        <v>0</v>
      </c>
      <c r="W617" s="346">
        <f t="shared" si="223"/>
        <v>0</v>
      </c>
      <c r="X617" s="346">
        <f t="shared" si="223"/>
        <v>0</v>
      </c>
      <c r="Y617" s="346">
        <f t="shared" si="223"/>
        <v>0</v>
      </c>
      <c r="AQ617" s="3"/>
    </row>
    <row r="618" spans="4:43" x14ac:dyDescent="0.35">
      <c r="E618" s="336"/>
      <c r="F618" s="2" t="s">
        <v>982</v>
      </c>
      <c r="G618" t="s">
        <v>207</v>
      </c>
      <c r="J618" s="91">
        <f>J179</f>
        <v>0</v>
      </c>
      <c r="K618" s="91">
        <f t="shared" ref="K618:Y618" si="224">K179</f>
        <v>0</v>
      </c>
      <c r="L618" s="91">
        <f t="shared" si="224"/>
        <v>529.47449865049282</v>
      </c>
      <c r="M618" s="91">
        <f t="shared" si="224"/>
        <v>0</v>
      </c>
      <c r="N618" s="91">
        <f t="shared" si="224"/>
        <v>1967.5721169921585</v>
      </c>
      <c r="O618" s="91">
        <f t="shared" si="224"/>
        <v>40.684877660328141</v>
      </c>
      <c r="P618" s="91">
        <f t="shared" si="224"/>
        <v>118.11791172995964</v>
      </c>
      <c r="Q618" s="91">
        <f t="shared" si="224"/>
        <v>0</v>
      </c>
      <c r="R618" s="91">
        <f t="shared" si="224"/>
        <v>0</v>
      </c>
      <c r="S618" s="91">
        <f t="shared" si="224"/>
        <v>0</v>
      </c>
      <c r="T618" s="91">
        <f t="shared" si="224"/>
        <v>0</v>
      </c>
      <c r="U618" s="91">
        <f t="shared" si="224"/>
        <v>0</v>
      </c>
      <c r="V618" s="91">
        <f t="shared" si="224"/>
        <v>0</v>
      </c>
      <c r="W618" s="91">
        <f t="shared" si="224"/>
        <v>0</v>
      </c>
      <c r="X618" s="91">
        <f t="shared" si="224"/>
        <v>0</v>
      </c>
      <c r="Y618" s="91">
        <f t="shared" si="224"/>
        <v>0</v>
      </c>
      <c r="AQ618" s="3"/>
    </row>
    <row r="619" spans="4:43" x14ac:dyDescent="0.35">
      <c r="E619" s="336"/>
      <c r="F619" s="2" t="s">
        <v>981</v>
      </c>
      <c r="G619" t="s">
        <v>207</v>
      </c>
      <c r="J619" s="91">
        <f>J188</f>
        <v>0</v>
      </c>
      <c r="K619" s="91">
        <f t="shared" ref="K619:Y619" si="225">K188</f>
        <v>0</v>
      </c>
      <c r="L619" s="91">
        <f t="shared" si="225"/>
        <v>0</v>
      </c>
      <c r="M619" s="91">
        <f t="shared" si="225"/>
        <v>0</v>
      </c>
      <c r="N619" s="91">
        <f t="shared" si="225"/>
        <v>7949.9141203121799</v>
      </c>
      <c r="O619" s="91">
        <f t="shared" si="225"/>
        <v>732.61377285711262</v>
      </c>
      <c r="P619" s="91">
        <f t="shared" si="225"/>
        <v>1074.4197771764254</v>
      </c>
      <c r="Q619" s="91">
        <f t="shared" si="225"/>
        <v>0</v>
      </c>
      <c r="R619" s="91">
        <f t="shared" si="225"/>
        <v>0</v>
      </c>
      <c r="S619" s="91">
        <f t="shared" si="225"/>
        <v>0</v>
      </c>
      <c r="T619" s="91">
        <f t="shared" si="225"/>
        <v>0</v>
      </c>
      <c r="U619" s="91">
        <f t="shared" si="225"/>
        <v>0</v>
      </c>
      <c r="V619" s="91">
        <f t="shared" si="225"/>
        <v>0</v>
      </c>
      <c r="W619" s="91">
        <f t="shared" si="225"/>
        <v>0</v>
      </c>
      <c r="X619" s="91">
        <f t="shared" si="225"/>
        <v>0</v>
      </c>
      <c r="Y619" s="91">
        <f t="shared" si="225"/>
        <v>0</v>
      </c>
      <c r="AQ619" s="3"/>
    </row>
    <row r="620" spans="4:43" x14ac:dyDescent="0.35">
      <c r="E620" s="62" t="s">
        <v>248</v>
      </c>
      <c r="F620" s="2"/>
      <c r="J620" s="22"/>
      <c r="K620" s="22"/>
      <c r="L620" s="22"/>
      <c r="M620" s="22"/>
      <c r="N620" s="22"/>
      <c r="O620" s="22"/>
      <c r="P620" s="22"/>
      <c r="Q620" s="22"/>
      <c r="R620" s="22"/>
      <c r="S620" s="22"/>
      <c r="T620" s="22"/>
      <c r="U620" s="22"/>
      <c r="V620" s="22"/>
      <c r="W620" s="22"/>
      <c r="X620" s="22"/>
      <c r="Y620" s="22"/>
      <c r="AQ620" s="3"/>
    </row>
    <row r="621" spans="4:43" x14ac:dyDescent="0.35">
      <c r="E621" s="336"/>
      <c r="F621" s="2" t="s">
        <v>978</v>
      </c>
      <c r="G621" t="s">
        <v>207</v>
      </c>
      <c r="J621" s="121">
        <f>J153</f>
        <v>0</v>
      </c>
      <c r="K621" s="121">
        <f t="shared" ref="K621:Y621" si="226">K153</f>
        <v>623.84978064236452</v>
      </c>
      <c r="L621" s="121">
        <f t="shared" si="226"/>
        <v>3535.13682889043</v>
      </c>
      <c r="M621" s="121">
        <f t="shared" si="226"/>
        <v>171.31576560045573</v>
      </c>
      <c r="N621" s="121">
        <f t="shared" si="226"/>
        <v>0</v>
      </c>
      <c r="O621" s="121">
        <f t="shared" si="226"/>
        <v>0</v>
      </c>
      <c r="P621" s="121">
        <f t="shared" si="226"/>
        <v>0</v>
      </c>
      <c r="Q621" s="121">
        <f t="shared" si="226"/>
        <v>0</v>
      </c>
      <c r="R621" s="121">
        <f t="shared" si="226"/>
        <v>7.3179999999999996</v>
      </c>
      <c r="S621" s="121">
        <f t="shared" si="226"/>
        <v>1.6240000000000001</v>
      </c>
      <c r="T621" s="121">
        <f t="shared" si="226"/>
        <v>5782.7279852995352</v>
      </c>
      <c r="U621" s="121">
        <f t="shared" si="226"/>
        <v>0</v>
      </c>
      <c r="V621" s="121">
        <f t="shared" si="226"/>
        <v>0</v>
      </c>
      <c r="W621" s="121">
        <f t="shared" si="226"/>
        <v>0</v>
      </c>
      <c r="X621" s="121">
        <f t="shared" si="226"/>
        <v>165.84055989272863</v>
      </c>
      <c r="Y621" s="121">
        <f t="shared" si="226"/>
        <v>0</v>
      </c>
      <c r="AQ621" s="3"/>
    </row>
    <row r="622" spans="4:43" x14ac:dyDescent="0.35">
      <c r="E622" s="336"/>
      <c r="F622" s="2" t="s">
        <v>979</v>
      </c>
      <c r="G622" t="s">
        <v>207</v>
      </c>
      <c r="J622" s="346">
        <f>J162</f>
        <v>113627.71327885594</v>
      </c>
      <c r="K622" s="346">
        <f t="shared" ref="K622:Y622" si="227">K162</f>
        <v>0</v>
      </c>
      <c r="L622" s="346">
        <f t="shared" si="227"/>
        <v>2042.7330841640305</v>
      </c>
      <c r="M622" s="346">
        <f t="shared" si="227"/>
        <v>0</v>
      </c>
      <c r="N622" s="346">
        <f t="shared" si="227"/>
        <v>10857.101309435961</v>
      </c>
      <c r="O622" s="346">
        <f t="shared" si="227"/>
        <v>6416.7182911428245</v>
      </c>
      <c r="P622" s="346">
        <f t="shared" si="227"/>
        <v>2489.3693714466945</v>
      </c>
      <c r="Q622" s="346">
        <f t="shared" si="227"/>
        <v>779.30099999999982</v>
      </c>
      <c r="R622" s="346">
        <f t="shared" si="227"/>
        <v>0</v>
      </c>
      <c r="S622" s="346">
        <f t="shared" si="227"/>
        <v>0</v>
      </c>
      <c r="T622" s="346">
        <f t="shared" si="227"/>
        <v>0</v>
      </c>
      <c r="U622" s="346">
        <f t="shared" si="227"/>
        <v>0</v>
      </c>
      <c r="V622" s="346">
        <f t="shared" si="227"/>
        <v>0</v>
      </c>
      <c r="W622" s="346">
        <f t="shared" si="227"/>
        <v>0</v>
      </c>
      <c r="X622" s="346">
        <f t="shared" si="227"/>
        <v>0</v>
      </c>
      <c r="Y622" s="346">
        <f t="shared" si="227"/>
        <v>0</v>
      </c>
      <c r="AQ622" s="3"/>
    </row>
    <row r="623" spans="4:43" x14ac:dyDescent="0.35">
      <c r="E623" s="336"/>
      <c r="F623" s="2" t="s">
        <v>980</v>
      </c>
      <c r="G623" t="s">
        <v>207</v>
      </c>
      <c r="J623" s="346">
        <f>J171</f>
        <v>0</v>
      </c>
      <c r="K623" s="346">
        <f t="shared" ref="K623:Y623" si="228">K171</f>
        <v>0</v>
      </c>
      <c r="L623" s="346">
        <f t="shared" si="228"/>
        <v>4530.1293203717378</v>
      </c>
      <c r="M623" s="346">
        <f t="shared" si="228"/>
        <v>0</v>
      </c>
      <c r="N623" s="346">
        <f t="shared" si="228"/>
        <v>13976.29582267841</v>
      </c>
      <c r="O623" s="346">
        <f t="shared" si="228"/>
        <v>45.31254765237351</v>
      </c>
      <c r="P623" s="346">
        <f t="shared" si="228"/>
        <v>4714.8084086735098</v>
      </c>
      <c r="Q623" s="346">
        <f t="shared" si="228"/>
        <v>0</v>
      </c>
      <c r="R623" s="346">
        <f t="shared" si="228"/>
        <v>0</v>
      </c>
      <c r="S623" s="346">
        <f t="shared" si="228"/>
        <v>0</v>
      </c>
      <c r="T623" s="346">
        <f t="shared" si="228"/>
        <v>0</v>
      </c>
      <c r="U623" s="346">
        <f t="shared" si="228"/>
        <v>0</v>
      </c>
      <c r="V623" s="346">
        <f t="shared" si="228"/>
        <v>0</v>
      </c>
      <c r="W623" s="346">
        <f t="shared" si="228"/>
        <v>0</v>
      </c>
      <c r="X623" s="346">
        <f t="shared" si="228"/>
        <v>0</v>
      </c>
      <c r="Y623" s="346">
        <f t="shared" si="228"/>
        <v>0</v>
      </c>
      <c r="AQ623" s="3"/>
    </row>
    <row r="624" spans="4:43" x14ac:dyDescent="0.35">
      <c r="E624" s="336"/>
      <c r="F624" s="2" t="s">
        <v>982</v>
      </c>
      <c r="G624" t="s">
        <v>207</v>
      </c>
      <c r="J624" s="91">
        <f>J180</f>
        <v>0</v>
      </c>
      <c r="K624" s="91">
        <f t="shared" ref="K624:Y624" si="229">K180</f>
        <v>0</v>
      </c>
      <c r="L624" s="91">
        <f t="shared" si="229"/>
        <v>3338.5169481591784</v>
      </c>
      <c r="M624" s="91">
        <f t="shared" si="229"/>
        <v>0</v>
      </c>
      <c r="N624" s="91">
        <f t="shared" si="229"/>
        <v>10635.246554663447</v>
      </c>
      <c r="O624" s="91">
        <f t="shared" si="229"/>
        <v>229.19943893136829</v>
      </c>
      <c r="P624" s="91">
        <f t="shared" si="229"/>
        <v>682.94082517471816</v>
      </c>
      <c r="Q624" s="91">
        <f t="shared" si="229"/>
        <v>0</v>
      </c>
      <c r="R624" s="91">
        <f t="shared" si="229"/>
        <v>0</v>
      </c>
      <c r="S624" s="91">
        <f t="shared" si="229"/>
        <v>0</v>
      </c>
      <c r="T624" s="91">
        <f t="shared" si="229"/>
        <v>0</v>
      </c>
      <c r="U624" s="91">
        <f t="shared" si="229"/>
        <v>0</v>
      </c>
      <c r="V624" s="91">
        <f t="shared" si="229"/>
        <v>0</v>
      </c>
      <c r="W624" s="91">
        <f t="shared" si="229"/>
        <v>0</v>
      </c>
      <c r="X624" s="91">
        <f t="shared" si="229"/>
        <v>0</v>
      </c>
      <c r="Y624" s="91">
        <f t="shared" si="229"/>
        <v>0</v>
      </c>
      <c r="AQ624" s="3"/>
    </row>
    <row r="625" spans="5:43" x14ac:dyDescent="0.35">
      <c r="E625" s="336"/>
      <c r="F625" s="2" t="s">
        <v>981</v>
      </c>
      <c r="G625" t="s">
        <v>207</v>
      </c>
      <c r="J625" s="91">
        <f>J189</f>
        <v>0</v>
      </c>
      <c r="K625" s="91">
        <f t="shared" ref="K625:Y625" si="230">K189</f>
        <v>0</v>
      </c>
      <c r="L625" s="91">
        <f t="shared" si="230"/>
        <v>0</v>
      </c>
      <c r="M625" s="91">
        <f t="shared" si="230"/>
        <v>0</v>
      </c>
      <c r="N625" s="91">
        <f t="shared" si="230"/>
        <v>42971.383883591268</v>
      </c>
      <c r="O625" s="91">
        <f t="shared" si="230"/>
        <v>4127.2009490636083</v>
      </c>
      <c r="P625" s="91">
        <f t="shared" si="230"/>
        <v>6212.1410585587864</v>
      </c>
      <c r="Q625" s="91">
        <f t="shared" si="230"/>
        <v>0</v>
      </c>
      <c r="R625" s="91">
        <f t="shared" si="230"/>
        <v>0</v>
      </c>
      <c r="S625" s="91">
        <f t="shared" si="230"/>
        <v>0</v>
      </c>
      <c r="T625" s="91">
        <f t="shared" si="230"/>
        <v>0</v>
      </c>
      <c r="U625" s="91">
        <f t="shared" si="230"/>
        <v>0</v>
      </c>
      <c r="V625" s="91">
        <f t="shared" si="230"/>
        <v>0</v>
      </c>
      <c r="W625" s="91">
        <f t="shared" si="230"/>
        <v>0</v>
      </c>
      <c r="X625" s="91">
        <f t="shared" si="230"/>
        <v>0</v>
      </c>
      <c r="Y625" s="91">
        <f t="shared" si="230"/>
        <v>0</v>
      </c>
      <c r="AQ625" s="3"/>
    </row>
    <row r="626" spans="5:43" x14ac:dyDescent="0.35">
      <c r="E626" s="62" t="s">
        <v>249</v>
      </c>
      <c r="F626" s="2"/>
      <c r="J626" s="22"/>
      <c r="K626" s="22"/>
      <c r="L626" s="22"/>
      <c r="M626" s="22"/>
      <c r="N626" s="22"/>
      <c r="O626" s="22"/>
      <c r="P626" s="22"/>
      <c r="Q626" s="22"/>
      <c r="R626" s="22"/>
      <c r="S626" s="22"/>
      <c r="T626" s="22"/>
      <c r="U626" s="22"/>
      <c r="V626" s="22"/>
      <c r="W626" s="22"/>
      <c r="X626" s="22"/>
      <c r="Y626" s="22"/>
      <c r="AQ626" s="3"/>
    </row>
    <row r="627" spans="5:43" x14ac:dyDescent="0.35">
      <c r="E627" s="336"/>
      <c r="F627" s="2" t="s">
        <v>978</v>
      </c>
      <c r="G627" t="s">
        <v>207</v>
      </c>
      <c r="J627" s="121">
        <f>J154</f>
        <v>0</v>
      </c>
      <c r="K627" s="121">
        <f t="shared" ref="K627:Y627" si="231">K154</f>
        <v>584.25146271471135</v>
      </c>
      <c r="L627" s="121">
        <f t="shared" si="231"/>
        <v>1578.2983614029965</v>
      </c>
      <c r="M627" s="121">
        <f t="shared" si="231"/>
        <v>85.551810528986309</v>
      </c>
      <c r="N627" s="121">
        <f t="shared" si="231"/>
        <v>0</v>
      </c>
      <c r="O627" s="121">
        <f t="shared" si="231"/>
        <v>0</v>
      </c>
      <c r="P627" s="121">
        <f t="shared" si="231"/>
        <v>0</v>
      </c>
      <c r="Q627" s="121">
        <f t="shared" si="231"/>
        <v>0</v>
      </c>
      <c r="R627" s="121">
        <f t="shared" si="231"/>
        <v>0.28999999999999998</v>
      </c>
      <c r="S627" s="121">
        <f t="shared" si="231"/>
        <v>0</v>
      </c>
      <c r="T627" s="121">
        <f t="shared" si="231"/>
        <v>2767.2356585674361</v>
      </c>
      <c r="U627" s="121">
        <f t="shared" si="231"/>
        <v>0</v>
      </c>
      <c r="V627" s="121">
        <f t="shared" si="231"/>
        <v>0</v>
      </c>
      <c r="W627" s="121">
        <f t="shared" si="231"/>
        <v>0</v>
      </c>
      <c r="X627" s="121">
        <f t="shared" si="231"/>
        <v>72.935642648769161</v>
      </c>
      <c r="Y627" s="121">
        <f t="shared" si="231"/>
        <v>0</v>
      </c>
      <c r="AQ627" s="3"/>
    </row>
    <row r="628" spans="5:43" x14ac:dyDescent="0.35">
      <c r="E628" s="336"/>
      <c r="F628" s="2" t="s">
        <v>979</v>
      </c>
      <c r="G628" t="s">
        <v>207</v>
      </c>
      <c r="J628" s="346">
        <f>J163</f>
        <v>55546.777639504362</v>
      </c>
      <c r="K628" s="346">
        <f t="shared" ref="K628:Y628" si="232">K163</f>
        <v>0</v>
      </c>
      <c r="L628" s="346">
        <f t="shared" si="232"/>
        <v>911.99929042964527</v>
      </c>
      <c r="M628" s="346">
        <f t="shared" si="232"/>
        <v>0</v>
      </c>
      <c r="N628" s="346">
        <f t="shared" si="232"/>
        <v>6116.8697877032973</v>
      </c>
      <c r="O628" s="346">
        <f t="shared" si="232"/>
        <v>3318.7093916347462</v>
      </c>
      <c r="P628" s="346">
        <f t="shared" si="232"/>
        <v>1657.8847626627041</v>
      </c>
      <c r="Q628" s="346">
        <f t="shared" si="232"/>
        <v>406.67899999999997</v>
      </c>
      <c r="R628" s="346">
        <f t="shared" si="232"/>
        <v>0</v>
      </c>
      <c r="S628" s="346">
        <f t="shared" si="232"/>
        <v>0</v>
      </c>
      <c r="T628" s="346">
        <f t="shared" si="232"/>
        <v>0</v>
      </c>
      <c r="U628" s="346">
        <f t="shared" si="232"/>
        <v>0</v>
      </c>
      <c r="V628" s="346">
        <f t="shared" si="232"/>
        <v>0</v>
      </c>
      <c r="W628" s="346">
        <f t="shared" si="232"/>
        <v>0</v>
      </c>
      <c r="X628" s="346">
        <f t="shared" si="232"/>
        <v>0</v>
      </c>
      <c r="Y628" s="346">
        <f t="shared" si="232"/>
        <v>0</v>
      </c>
      <c r="AQ628" s="3"/>
    </row>
    <row r="629" spans="5:43" x14ac:dyDescent="0.35">
      <c r="E629" s="336"/>
      <c r="F629" s="2" t="s">
        <v>980</v>
      </c>
      <c r="G629" t="s">
        <v>207</v>
      </c>
      <c r="J629" s="346">
        <f>J172</f>
        <v>0</v>
      </c>
      <c r="K629" s="346">
        <f t="shared" ref="K629:Y629" si="233">K172</f>
        <v>0</v>
      </c>
      <c r="L629" s="346">
        <f t="shared" si="233"/>
        <v>2022.5230392370736</v>
      </c>
      <c r="M629" s="346">
        <f t="shared" si="233"/>
        <v>0</v>
      </c>
      <c r="N629" s="346">
        <f t="shared" si="233"/>
        <v>7874.2179173961067</v>
      </c>
      <c r="O629" s="346">
        <f t="shared" si="233"/>
        <v>23.43552741911726</v>
      </c>
      <c r="P629" s="346">
        <f t="shared" si="233"/>
        <v>3139.9956588488067</v>
      </c>
      <c r="Q629" s="346">
        <f t="shared" si="233"/>
        <v>0</v>
      </c>
      <c r="R629" s="346">
        <f t="shared" si="233"/>
        <v>0</v>
      </c>
      <c r="S629" s="346">
        <f t="shared" si="233"/>
        <v>0</v>
      </c>
      <c r="T629" s="346">
        <f t="shared" si="233"/>
        <v>0</v>
      </c>
      <c r="U629" s="346">
        <f t="shared" si="233"/>
        <v>0</v>
      </c>
      <c r="V629" s="346">
        <f t="shared" si="233"/>
        <v>0</v>
      </c>
      <c r="W629" s="346">
        <f t="shared" si="233"/>
        <v>0</v>
      </c>
      <c r="X629" s="346">
        <f t="shared" si="233"/>
        <v>0</v>
      </c>
      <c r="Y629" s="346">
        <f t="shared" si="233"/>
        <v>0</v>
      </c>
      <c r="AQ629" s="3"/>
    </row>
    <row r="630" spans="5:43" x14ac:dyDescent="0.35">
      <c r="E630" s="336"/>
      <c r="F630" s="2" t="s">
        <v>982</v>
      </c>
      <c r="G630" t="s">
        <v>207</v>
      </c>
      <c r="J630" s="91">
        <f>J181</f>
        <v>0</v>
      </c>
      <c r="K630" s="91">
        <f t="shared" ref="K630:Y630" si="234">K181</f>
        <v>0</v>
      </c>
      <c r="L630" s="91">
        <f t="shared" si="234"/>
        <v>1490.5153842233581</v>
      </c>
      <c r="M630" s="91">
        <f t="shared" si="234"/>
        <v>0</v>
      </c>
      <c r="N630" s="91">
        <f t="shared" si="234"/>
        <v>5991.8772498196458</v>
      </c>
      <c r="O630" s="91">
        <f t="shared" si="234"/>
        <v>118.54133156957938</v>
      </c>
      <c r="P630" s="91">
        <f t="shared" si="234"/>
        <v>454.82892207332833</v>
      </c>
      <c r="Q630" s="91">
        <f t="shared" si="234"/>
        <v>0</v>
      </c>
      <c r="R630" s="91">
        <f t="shared" si="234"/>
        <v>0</v>
      </c>
      <c r="S630" s="91">
        <f t="shared" si="234"/>
        <v>0</v>
      </c>
      <c r="T630" s="91">
        <f t="shared" si="234"/>
        <v>0</v>
      </c>
      <c r="U630" s="91">
        <f t="shared" si="234"/>
        <v>0</v>
      </c>
      <c r="V630" s="91">
        <f t="shared" si="234"/>
        <v>0</v>
      </c>
      <c r="W630" s="91">
        <f t="shared" si="234"/>
        <v>0</v>
      </c>
      <c r="X630" s="91">
        <f t="shared" si="234"/>
        <v>0</v>
      </c>
      <c r="Y630" s="91">
        <f t="shared" si="234"/>
        <v>0</v>
      </c>
      <c r="AQ630" s="3"/>
    </row>
    <row r="631" spans="5:43" x14ac:dyDescent="0.35">
      <c r="E631" s="336"/>
      <c r="F631" s="2" t="s">
        <v>981</v>
      </c>
      <c r="G631" t="s">
        <v>207</v>
      </c>
      <c r="J631" s="91">
        <f>J190</f>
        <v>0</v>
      </c>
      <c r="K631" s="91">
        <f t="shared" ref="K631:Y631" si="235">K190</f>
        <v>0</v>
      </c>
      <c r="L631" s="91">
        <f t="shared" si="235"/>
        <v>0</v>
      </c>
      <c r="M631" s="91">
        <f t="shared" si="235"/>
        <v>0</v>
      </c>
      <c r="N631" s="91">
        <f t="shared" si="235"/>
        <v>24209.994207652395</v>
      </c>
      <c r="O631" s="91">
        <f t="shared" si="235"/>
        <v>2134.5771980869972</v>
      </c>
      <c r="P631" s="91">
        <f t="shared" si="235"/>
        <v>4137.1980079078066</v>
      </c>
      <c r="Q631" s="91">
        <f t="shared" si="235"/>
        <v>0</v>
      </c>
      <c r="R631" s="91">
        <f t="shared" si="235"/>
        <v>0</v>
      </c>
      <c r="S631" s="91">
        <f t="shared" si="235"/>
        <v>0</v>
      </c>
      <c r="T631" s="91">
        <f t="shared" si="235"/>
        <v>0</v>
      </c>
      <c r="U631" s="91">
        <f t="shared" si="235"/>
        <v>0</v>
      </c>
      <c r="V631" s="91">
        <f t="shared" si="235"/>
        <v>0</v>
      </c>
      <c r="W631" s="91">
        <f t="shared" si="235"/>
        <v>0</v>
      </c>
      <c r="X631" s="91">
        <f t="shared" si="235"/>
        <v>0</v>
      </c>
      <c r="Y631" s="91">
        <f t="shared" si="235"/>
        <v>0</v>
      </c>
      <c r="AQ631" s="3"/>
    </row>
    <row r="632" spans="5:43" x14ac:dyDescent="0.35">
      <c r="E632" s="62" t="s">
        <v>212</v>
      </c>
      <c r="F632" s="2"/>
      <c r="J632" s="22"/>
      <c r="K632" s="22"/>
      <c r="L632" s="22"/>
      <c r="M632" s="22"/>
      <c r="N632" s="22"/>
      <c r="O632" s="22"/>
      <c r="P632" s="22"/>
      <c r="Q632" s="22"/>
      <c r="R632" s="22"/>
      <c r="S632" s="22"/>
      <c r="T632" s="22"/>
      <c r="U632" s="22"/>
      <c r="V632" s="22"/>
      <c r="W632" s="22"/>
      <c r="X632" s="22"/>
      <c r="Y632" s="22"/>
      <c r="AQ632" s="3"/>
    </row>
    <row r="633" spans="5:43" x14ac:dyDescent="0.35">
      <c r="E633" s="336"/>
      <c r="F633" s="2" t="s">
        <v>978</v>
      </c>
      <c r="G633" t="s">
        <v>212</v>
      </c>
      <c r="J633" s="121">
        <f>J155</f>
        <v>0</v>
      </c>
      <c r="K633" s="121">
        <f t="shared" ref="K633:Y633" si="236">K155</f>
        <v>533.5</v>
      </c>
      <c r="L633" s="121">
        <f t="shared" si="236"/>
        <v>0</v>
      </c>
      <c r="M633" s="121">
        <f t="shared" si="236"/>
        <v>0</v>
      </c>
      <c r="N633" s="121">
        <f t="shared" si="236"/>
        <v>0</v>
      </c>
      <c r="O633" s="121">
        <f t="shared" si="236"/>
        <v>0</v>
      </c>
      <c r="P633" s="121">
        <f t="shared" si="236"/>
        <v>0</v>
      </c>
      <c r="Q633" s="121">
        <f t="shared" si="236"/>
        <v>0</v>
      </c>
      <c r="R633" s="121">
        <f t="shared" si="236"/>
        <v>1</v>
      </c>
      <c r="S633" s="121">
        <f t="shared" si="236"/>
        <v>1</v>
      </c>
      <c r="T633" s="121">
        <f t="shared" si="236"/>
        <v>0</v>
      </c>
      <c r="U633" s="121">
        <f t="shared" si="236"/>
        <v>0</v>
      </c>
      <c r="V633" s="121">
        <f t="shared" si="236"/>
        <v>0</v>
      </c>
      <c r="W633" s="121">
        <f t="shared" si="236"/>
        <v>0</v>
      </c>
      <c r="X633" s="121">
        <f t="shared" si="236"/>
        <v>0</v>
      </c>
      <c r="Y633" s="121">
        <f t="shared" si="236"/>
        <v>0</v>
      </c>
      <c r="AQ633" s="3"/>
    </row>
    <row r="634" spans="5:43" x14ac:dyDescent="0.35">
      <c r="E634" s="336"/>
      <c r="F634" s="2" t="s">
        <v>979</v>
      </c>
      <c r="G634" t="s">
        <v>212</v>
      </c>
      <c r="J634" s="346">
        <f>J164</f>
        <v>128781.76565790082</v>
      </c>
      <c r="K634" s="346">
        <f t="shared" ref="K634:Y634" si="237">K164</f>
        <v>0</v>
      </c>
      <c r="L634" s="346">
        <f t="shared" si="237"/>
        <v>1478.6028145081389</v>
      </c>
      <c r="M634" s="346">
        <f t="shared" si="237"/>
        <v>0</v>
      </c>
      <c r="N634" s="346">
        <f t="shared" si="237"/>
        <v>160.50739720917898</v>
      </c>
      <c r="O634" s="346">
        <f t="shared" si="237"/>
        <v>24.77710843373492</v>
      </c>
      <c r="P634" s="346">
        <f t="shared" si="237"/>
        <v>6</v>
      </c>
      <c r="Q634" s="346">
        <f t="shared" si="237"/>
        <v>266.64516129032251</v>
      </c>
      <c r="R634" s="346">
        <f t="shared" si="237"/>
        <v>0</v>
      </c>
      <c r="S634" s="346">
        <f t="shared" si="237"/>
        <v>0</v>
      </c>
      <c r="T634" s="346">
        <f t="shared" si="237"/>
        <v>0</v>
      </c>
      <c r="U634" s="346">
        <f t="shared" si="237"/>
        <v>0</v>
      </c>
      <c r="V634" s="346">
        <f t="shared" si="237"/>
        <v>0</v>
      </c>
      <c r="W634" s="346">
        <f t="shared" si="237"/>
        <v>0</v>
      </c>
      <c r="X634" s="346">
        <f t="shared" si="237"/>
        <v>0</v>
      </c>
      <c r="Y634" s="346">
        <f t="shared" si="237"/>
        <v>0</v>
      </c>
      <c r="AQ634" s="3"/>
    </row>
    <row r="635" spans="5:43" x14ac:dyDescent="0.35">
      <c r="E635" s="336"/>
      <c r="F635" s="2" t="s">
        <v>980</v>
      </c>
      <c r="G635" t="s">
        <v>212</v>
      </c>
      <c r="J635" s="346">
        <f>J173</f>
        <v>0</v>
      </c>
      <c r="K635" s="346">
        <f t="shared" ref="K635:Y635" si="238">K173</f>
        <v>0</v>
      </c>
      <c r="L635" s="346">
        <f t="shared" si="238"/>
        <v>562.97530003298323</v>
      </c>
      <c r="M635" s="346">
        <f t="shared" si="238"/>
        <v>0</v>
      </c>
      <c r="N635" s="346">
        <f t="shared" si="238"/>
        <v>313.06218249675658</v>
      </c>
      <c r="O635" s="346">
        <f t="shared" si="238"/>
        <v>1.5485692771084325</v>
      </c>
      <c r="P635" s="346">
        <f t="shared" si="238"/>
        <v>6</v>
      </c>
      <c r="Q635" s="346">
        <f t="shared" si="238"/>
        <v>0</v>
      </c>
      <c r="R635" s="346">
        <f t="shared" si="238"/>
        <v>0</v>
      </c>
      <c r="S635" s="346">
        <f t="shared" si="238"/>
        <v>0</v>
      </c>
      <c r="T635" s="346">
        <f t="shared" si="238"/>
        <v>0</v>
      </c>
      <c r="U635" s="346">
        <f t="shared" si="238"/>
        <v>0</v>
      </c>
      <c r="V635" s="346">
        <f t="shared" si="238"/>
        <v>0</v>
      </c>
      <c r="W635" s="346">
        <f t="shared" si="238"/>
        <v>0</v>
      </c>
      <c r="X635" s="346">
        <f t="shared" si="238"/>
        <v>0</v>
      </c>
      <c r="Y635" s="346">
        <f t="shared" si="238"/>
        <v>0</v>
      </c>
      <c r="AQ635" s="3"/>
    </row>
    <row r="636" spans="5:43" x14ac:dyDescent="0.35">
      <c r="E636" s="336"/>
      <c r="F636" s="2" t="s">
        <v>982</v>
      </c>
      <c r="G636" t="s">
        <v>212</v>
      </c>
      <c r="J636" s="91">
        <f>J182</f>
        <v>0</v>
      </c>
      <c r="K636" s="91">
        <f t="shared" ref="K636:Y636" si="239">K182</f>
        <v>0</v>
      </c>
      <c r="L636" s="91">
        <f t="shared" si="239"/>
        <v>832.4952805748494</v>
      </c>
      <c r="M636" s="91">
        <f t="shared" si="239"/>
        <v>0</v>
      </c>
      <c r="N636" s="91">
        <f t="shared" si="239"/>
        <v>132.18256240755917</v>
      </c>
      <c r="O636" s="91">
        <f t="shared" si="239"/>
        <v>4.6457078313252964</v>
      </c>
      <c r="P636" s="91">
        <f t="shared" si="239"/>
        <v>2</v>
      </c>
      <c r="Q636" s="91">
        <f t="shared" si="239"/>
        <v>0</v>
      </c>
      <c r="R636" s="91">
        <f t="shared" si="239"/>
        <v>0</v>
      </c>
      <c r="S636" s="91">
        <f t="shared" si="239"/>
        <v>0</v>
      </c>
      <c r="T636" s="91">
        <f t="shared" si="239"/>
        <v>0</v>
      </c>
      <c r="U636" s="91">
        <f t="shared" si="239"/>
        <v>0</v>
      </c>
      <c r="V636" s="91">
        <f t="shared" si="239"/>
        <v>0</v>
      </c>
      <c r="W636" s="91">
        <f t="shared" si="239"/>
        <v>0</v>
      </c>
      <c r="X636" s="91">
        <f t="shared" si="239"/>
        <v>0</v>
      </c>
      <c r="Y636" s="91">
        <f t="shared" si="239"/>
        <v>0</v>
      </c>
      <c r="AQ636" s="3"/>
    </row>
    <row r="637" spans="5:43" x14ac:dyDescent="0.35">
      <c r="E637" s="336"/>
      <c r="F637" s="2" t="s">
        <v>981</v>
      </c>
      <c r="G637" t="s">
        <v>212</v>
      </c>
      <c r="J637" s="91">
        <f>J191</f>
        <v>0</v>
      </c>
      <c r="K637" s="91">
        <f t="shared" ref="K637:Y637" si="240">K191</f>
        <v>0</v>
      </c>
      <c r="L637" s="91">
        <f t="shared" si="240"/>
        <v>230.11647461469292</v>
      </c>
      <c r="M637" s="91">
        <f t="shared" si="240"/>
        <v>0</v>
      </c>
      <c r="N637" s="91">
        <f t="shared" si="240"/>
        <v>193.63764006555354</v>
      </c>
      <c r="O637" s="91">
        <f t="shared" si="240"/>
        <v>35.367324135250705</v>
      </c>
      <c r="P637" s="91">
        <f t="shared" si="240"/>
        <v>3</v>
      </c>
      <c r="Q637" s="91">
        <f t="shared" si="240"/>
        <v>0</v>
      </c>
      <c r="R637" s="91">
        <f t="shared" si="240"/>
        <v>0</v>
      </c>
      <c r="S637" s="91">
        <f t="shared" si="240"/>
        <v>0</v>
      </c>
      <c r="T637" s="91">
        <f t="shared" si="240"/>
        <v>0</v>
      </c>
      <c r="U637" s="91">
        <f t="shared" si="240"/>
        <v>0</v>
      </c>
      <c r="V637" s="91">
        <f t="shared" si="240"/>
        <v>0</v>
      </c>
      <c r="W637" s="91">
        <f t="shared" si="240"/>
        <v>0</v>
      </c>
      <c r="X637" s="91">
        <f t="shared" si="240"/>
        <v>0</v>
      </c>
      <c r="Y637" s="91">
        <f t="shared" si="240"/>
        <v>0</v>
      </c>
      <c r="AQ637" s="3"/>
    </row>
    <row r="638" spans="5:43" x14ac:dyDescent="0.35">
      <c r="E638" s="62" t="s">
        <v>250</v>
      </c>
      <c r="F638" s="2"/>
      <c r="J638" s="22"/>
      <c r="K638" s="22"/>
      <c r="L638" s="22"/>
      <c r="M638" s="22"/>
      <c r="N638" s="22"/>
      <c r="O638" s="22"/>
      <c r="P638" s="22"/>
      <c r="Q638" s="22"/>
      <c r="R638" s="22"/>
      <c r="S638" s="22"/>
      <c r="T638" s="22"/>
      <c r="U638" s="22"/>
      <c r="V638" s="22"/>
      <c r="W638" s="22"/>
      <c r="X638" s="22"/>
      <c r="Y638" s="22"/>
      <c r="AQ638" s="3"/>
    </row>
    <row r="639" spans="5:43" x14ac:dyDescent="0.35">
      <c r="E639" s="336"/>
      <c r="F639" s="2" t="s">
        <v>978</v>
      </c>
      <c r="G639" t="s">
        <v>251</v>
      </c>
      <c r="J639" s="121">
        <f>J156</f>
        <v>0</v>
      </c>
      <c r="K639" s="121">
        <f t="shared" ref="K639:Y639" si="241">K156</f>
        <v>0</v>
      </c>
      <c r="L639" s="121">
        <f t="shared" si="241"/>
        <v>0</v>
      </c>
      <c r="M639" s="121">
        <f t="shared" si="241"/>
        <v>0</v>
      </c>
      <c r="N639" s="121">
        <f t="shared" si="241"/>
        <v>0</v>
      </c>
      <c r="O639" s="121">
        <f t="shared" si="241"/>
        <v>0</v>
      </c>
      <c r="P639" s="121">
        <f t="shared" si="241"/>
        <v>20.717105552650363</v>
      </c>
      <c r="Q639" s="121">
        <f t="shared" si="241"/>
        <v>0</v>
      </c>
      <c r="R639" s="121">
        <f t="shared" si="241"/>
        <v>0</v>
      </c>
      <c r="S639" s="121">
        <f t="shared" si="241"/>
        <v>0</v>
      </c>
      <c r="T639" s="121">
        <f t="shared" si="241"/>
        <v>0</v>
      </c>
      <c r="U639" s="121">
        <f t="shared" si="241"/>
        <v>0</v>
      </c>
      <c r="V639" s="121">
        <f t="shared" si="241"/>
        <v>0</v>
      </c>
      <c r="W639" s="121">
        <f t="shared" si="241"/>
        <v>0</v>
      </c>
      <c r="X639" s="121">
        <f t="shared" si="241"/>
        <v>0</v>
      </c>
      <c r="Y639" s="121">
        <f t="shared" si="241"/>
        <v>0</v>
      </c>
      <c r="AQ639" s="3"/>
    </row>
    <row r="640" spans="5:43" x14ac:dyDescent="0.35">
      <c r="E640" s="336"/>
      <c r="F640" s="2" t="s">
        <v>979</v>
      </c>
      <c r="G640" t="s">
        <v>251</v>
      </c>
      <c r="J640" s="346">
        <f>J165</f>
        <v>0</v>
      </c>
      <c r="K640" s="346">
        <f t="shared" ref="K640:Y640" si="242">K165</f>
        <v>0</v>
      </c>
      <c r="L640" s="346">
        <f t="shared" si="242"/>
        <v>0</v>
      </c>
      <c r="M640" s="346">
        <f t="shared" si="242"/>
        <v>0</v>
      </c>
      <c r="N640" s="346">
        <f t="shared" si="242"/>
        <v>25508.492416213801</v>
      </c>
      <c r="O640" s="346">
        <f t="shared" si="242"/>
        <v>138.65302444102156</v>
      </c>
      <c r="P640" s="346">
        <f t="shared" si="242"/>
        <v>1275.6485452551874</v>
      </c>
      <c r="Q640" s="346">
        <f t="shared" si="242"/>
        <v>0</v>
      </c>
      <c r="R640" s="346">
        <f t="shared" si="242"/>
        <v>0</v>
      </c>
      <c r="S640" s="346">
        <f t="shared" si="242"/>
        <v>0</v>
      </c>
      <c r="T640" s="346">
        <f t="shared" si="242"/>
        <v>0</v>
      </c>
      <c r="U640" s="346">
        <f t="shared" si="242"/>
        <v>0</v>
      </c>
      <c r="V640" s="346">
        <f t="shared" si="242"/>
        <v>0</v>
      </c>
      <c r="W640" s="346">
        <f t="shared" si="242"/>
        <v>0</v>
      </c>
      <c r="X640" s="346">
        <f t="shared" si="242"/>
        <v>0</v>
      </c>
      <c r="Y640" s="346">
        <f t="shared" si="242"/>
        <v>0</v>
      </c>
      <c r="AQ640" s="3"/>
    </row>
    <row r="641" spans="5:43" x14ac:dyDescent="0.35">
      <c r="E641" s="336"/>
      <c r="F641" s="2" t="s">
        <v>980</v>
      </c>
      <c r="G641" t="s">
        <v>251</v>
      </c>
      <c r="J641" s="346">
        <f>J174</f>
        <v>0</v>
      </c>
      <c r="K641" s="346">
        <f t="shared" ref="K641:Y641" si="243">K174</f>
        <v>0</v>
      </c>
      <c r="L641" s="346">
        <f t="shared" si="243"/>
        <v>0</v>
      </c>
      <c r="M641" s="346">
        <f t="shared" si="243"/>
        <v>0</v>
      </c>
      <c r="N641" s="346">
        <f t="shared" si="243"/>
        <v>32836.96318553319</v>
      </c>
      <c r="O641" s="346">
        <f t="shared" si="243"/>
        <v>1808.4433042380647</v>
      </c>
      <c r="P641" s="346">
        <f t="shared" si="243"/>
        <v>4802.3736080679346</v>
      </c>
      <c r="Q641" s="346">
        <f t="shared" si="243"/>
        <v>0</v>
      </c>
      <c r="R641" s="346">
        <f t="shared" si="243"/>
        <v>0</v>
      </c>
      <c r="S641" s="346">
        <f t="shared" si="243"/>
        <v>0</v>
      </c>
      <c r="T641" s="346">
        <f t="shared" si="243"/>
        <v>0</v>
      </c>
      <c r="U641" s="346">
        <f t="shared" si="243"/>
        <v>0</v>
      </c>
      <c r="V641" s="346">
        <f t="shared" si="243"/>
        <v>0</v>
      </c>
      <c r="W641" s="346">
        <f t="shared" si="243"/>
        <v>0</v>
      </c>
      <c r="X641" s="346">
        <f t="shared" si="243"/>
        <v>0</v>
      </c>
      <c r="Y641" s="346">
        <f t="shared" si="243"/>
        <v>0</v>
      </c>
      <c r="AQ641" s="3"/>
    </row>
    <row r="642" spans="5:43" x14ac:dyDescent="0.35">
      <c r="E642" s="336"/>
      <c r="F642" s="2" t="s">
        <v>982</v>
      </c>
      <c r="G642" t="s">
        <v>251</v>
      </c>
      <c r="J642" s="91">
        <f>J183</f>
        <v>0</v>
      </c>
      <c r="K642" s="91">
        <f t="shared" ref="K642:Y642" si="244">K183</f>
        <v>0</v>
      </c>
      <c r="L642" s="91">
        <f t="shared" si="244"/>
        <v>0</v>
      </c>
      <c r="M642" s="91">
        <f t="shared" si="244"/>
        <v>0</v>
      </c>
      <c r="N642" s="91">
        <f t="shared" si="244"/>
        <v>24987.250128026139</v>
      </c>
      <c r="O642" s="91">
        <f t="shared" si="244"/>
        <v>2769.2575429809194</v>
      </c>
      <c r="P642" s="91">
        <f t="shared" si="244"/>
        <v>3797.1051397956239</v>
      </c>
      <c r="Q642" s="91">
        <f t="shared" si="244"/>
        <v>0</v>
      </c>
      <c r="R642" s="91">
        <f t="shared" si="244"/>
        <v>0</v>
      </c>
      <c r="S642" s="91">
        <f t="shared" si="244"/>
        <v>0</v>
      </c>
      <c r="T642" s="91">
        <f t="shared" si="244"/>
        <v>0</v>
      </c>
      <c r="U642" s="91">
        <f t="shared" si="244"/>
        <v>0</v>
      </c>
      <c r="V642" s="91">
        <f t="shared" si="244"/>
        <v>0</v>
      </c>
      <c r="W642" s="91">
        <f t="shared" si="244"/>
        <v>0</v>
      </c>
      <c r="X642" s="91">
        <f t="shared" si="244"/>
        <v>0</v>
      </c>
      <c r="Y642" s="91">
        <f t="shared" si="244"/>
        <v>0</v>
      </c>
      <c r="AQ642" s="3"/>
    </row>
    <row r="643" spans="5:43" x14ac:dyDescent="0.35">
      <c r="E643" s="336"/>
      <c r="F643" s="2" t="s">
        <v>981</v>
      </c>
      <c r="G643" t="s">
        <v>251</v>
      </c>
      <c r="J643" s="91">
        <f>J192</f>
        <v>0</v>
      </c>
      <c r="K643" s="91">
        <f t="shared" ref="K643:Y643" si="245">K192</f>
        <v>0</v>
      </c>
      <c r="L643" s="91">
        <f t="shared" si="245"/>
        <v>0</v>
      </c>
      <c r="M643" s="91">
        <f t="shared" si="245"/>
        <v>0</v>
      </c>
      <c r="N643" s="91">
        <f t="shared" si="245"/>
        <v>100960.20923707723</v>
      </c>
      <c r="O643" s="91">
        <f t="shared" si="245"/>
        <v>34527.48874882191</v>
      </c>
      <c r="P643" s="91">
        <f t="shared" si="245"/>
        <v>10997.155601328604</v>
      </c>
      <c r="Q643" s="91">
        <f t="shared" si="245"/>
        <v>0</v>
      </c>
      <c r="R643" s="91">
        <f t="shared" si="245"/>
        <v>0</v>
      </c>
      <c r="S643" s="91">
        <f t="shared" si="245"/>
        <v>0</v>
      </c>
      <c r="T643" s="91">
        <f t="shared" si="245"/>
        <v>0</v>
      </c>
      <c r="U643" s="91">
        <f t="shared" si="245"/>
        <v>0</v>
      </c>
      <c r="V643" s="91">
        <f t="shared" si="245"/>
        <v>0</v>
      </c>
      <c r="W643" s="91">
        <f t="shared" si="245"/>
        <v>0</v>
      </c>
      <c r="X643" s="91">
        <f t="shared" si="245"/>
        <v>0</v>
      </c>
      <c r="Y643" s="91">
        <f t="shared" si="245"/>
        <v>0</v>
      </c>
      <c r="AQ643" s="3"/>
    </row>
    <row r="644" spans="5:43" x14ac:dyDescent="0.35">
      <c r="E644" s="62" t="s">
        <v>252</v>
      </c>
      <c r="F644" s="2"/>
      <c r="J644" s="22"/>
      <c r="K644" s="22"/>
      <c r="L644" s="22"/>
      <c r="M644" s="22"/>
      <c r="N644" s="22"/>
      <c r="O644" s="22"/>
      <c r="P644" s="22"/>
      <c r="Q644" s="22"/>
      <c r="R644" s="22"/>
      <c r="S644" s="22"/>
      <c r="T644" s="22"/>
      <c r="U644" s="22"/>
      <c r="V644" s="22"/>
      <c r="W644" s="22"/>
      <c r="X644" s="22"/>
      <c r="Y644" s="22"/>
      <c r="AQ644" s="3"/>
    </row>
    <row r="645" spans="5:43" x14ac:dyDescent="0.35">
      <c r="E645" s="336"/>
      <c r="F645" s="2" t="s">
        <v>978</v>
      </c>
      <c r="G645" t="s">
        <v>251</v>
      </c>
      <c r="J645" s="121">
        <f>J157</f>
        <v>0</v>
      </c>
      <c r="K645" s="121">
        <f t="shared" ref="K645:Y645" si="246">K157</f>
        <v>0</v>
      </c>
      <c r="L645" s="121">
        <f t="shared" si="246"/>
        <v>0</v>
      </c>
      <c r="M645" s="121">
        <f t="shared" si="246"/>
        <v>0</v>
      </c>
      <c r="N645" s="121">
        <f t="shared" si="246"/>
        <v>0</v>
      </c>
      <c r="O645" s="121">
        <f t="shared" si="246"/>
        <v>0</v>
      </c>
      <c r="P645" s="121">
        <f t="shared" si="246"/>
        <v>0.47397580309993154</v>
      </c>
      <c r="Q645" s="121">
        <f t="shared" si="246"/>
        <v>0</v>
      </c>
      <c r="R645" s="121">
        <f t="shared" si="246"/>
        <v>0</v>
      </c>
      <c r="S645" s="121">
        <f t="shared" si="246"/>
        <v>0</v>
      </c>
      <c r="T645" s="121">
        <f t="shared" si="246"/>
        <v>0</v>
      </c>
      <c r="U645" s="121">
        <f t="shared" si="246"/>
        <v>0</v>
      </c>
      <c r="V645" s="121">
        <f t="shared" si="246"/>
        <v>0</v>
      </c>
      <c r="W645" s="121">
        <f t="shared" si="246"/>
        <v>0</v>
      </c>
      <c r="X645" s="121">
        <f t="shared" si="246"/>
        <v>0</v>
      </c>
      <c r="Y645" s="121">
        <f t="shared" si="246"/>
        <v>0</v>
      </c>
      <c r="AQ645" s="3"/>
    </row>
    <row r="646" spans="5:43" x14ac:dyDescent="0.35">
      <c r="E646" s="336"/>
      <c r="F646" s="2" t="s">
        <v>979</v>
      </c>
      <c r="G646" t="s">
        <v>251</v>
      </c>
      <c r="J646" s="346">
        <f>J166</f>
        <v>0</v>
      </c>
      <c r="K646" s="346">
        <f t="shared" ref="K646:Y646" si="247">K166</f>
        <v>0</v>
      </c>
      <c r="L646" s="346">
        <f t="shared" si="247"/>
        <v>0</v>
      </c>
      <c r="M646" s="346">
        <f t="shared" si="247"/>
        <v>0</v>
      </c>
      <c r="N646" s="346">
        <f t="shared" si="247"/>
        <v>44.142137349103145</v>
      </c>
      <c r="O646" s="346">
        <f t="shared" si="247"/>
        <v>0</v>
      </c>
      <c r="P646" s="346">
        <f t="shared" si="247"/>
        <v>29.184894683960149</v>
      </c>
      <c r="Q646" s="346">
        <f t="shared" si="247"/>
        <v>0</v>
      </c>
      <c r="R646" s="346">
        <f t="shared" si="247"/>
        <v>0</v>
      </c>
      <c r="S646" s="346">
        <f t="shared" si="247"/>
        <v>0</v>
      </c>
      <c r="T646" s="346">
        <f t="shared" si="247"/>
        <v>0</v>
      </c>
      <c r="U646" s="346">
        <f t="shared" si="247"/>
        <v>0</v>
      </c>
      <c r="V646" s="346">
        <f t="shared" si="247"/>
        <v>0</v>
      </c>
      <c r="W646" s="346">
        <f t="shared" si="247"/>
        <v>0</v>
      </c>
      <c r="X646" s="346">
        <f t="shared" si="247"/>
        <v>0</v>
      </c>
      <c r="Y646" s="346">
        <f t="shared" si="247"/>
        <v>0</v>
      </c>
      <c r="AQ646" s="3"/>
    </row>
    <row r="647" spans="5:43" x14ac:dyDescent="0.35">
      <c r="E647" s="336"/>
      <c r="F647" s="2" t="s">
        <v>980</v>
      </c>
      <c r="G647" t="s">
        <v>251</v>
      </c>
      <c r="J647" s="346">
        <f>J175</f>
        <v>0</v>
      </c>
      <c r="K647" s="346">
        <f t="shared" ref="K647:Y647" si="248">K175</f>
        <v>0</v>
      </c>
      <c r="L647" s="346">
        <f t="shared" si="248"/>
        <v>0</v>
      </c>
      <c r="M647" s="346">
        <f t="shared" si="248"/>
        <v>0</v>
      </c>
      <c r="N647" s="346">
        <f t="shared" si="248"/>
        <v>56.823967305175486</v>
      </c>
      <c r="O647" s="346">
        <f t="shared" si="248"/>
        <v>0</v>
      </c>
      <c r="P647" s="346">
        <f t="shared" si="248"/>
        <v>109.87098954944105</v>
      </c>
      <c r="Q647" s="346">
        <f t="shared" si="248"/>
        <v>0</v>
      </c>
      <c r="R647" s="346">
        <f t="shared" si="248"/>
        <v>0</v>
      </c>
      <c r="S647" s="346">
        <f t="shared" si="248"/>
        <v>0</v>
      </c>
      <c r="T647" s="346">
        <f t="shared" si="248"/>
        <v>0</v>
      </c>
      <c r="U647" s="346">
        <f t="shared" si="248"/>
        <v>0</v>
      </c>
      <c r="V647" s="346">
        <f t="shared" si="248"/>
        <v>0</v>
      </c>
      <c r="W647" s="346">
        <f t="shared" si="248"/>
        <v>0</v>
      </c>
      <c r="X647" s="346">
        <f t="shared" si="248"/>
        <v>0</v>
      </c>
      <c r="Y647" s="346">
        <f t="shared" si="248"/>
        <v>0</v>
      </c>
      <c r="AQ647" s="3"/>
    </row>
    <row r="648" spans="5:43" x14ac:dyDescent="0.35">
      <c r="E648" s="336"/>
      <c r="F648" s="2" t="s">
        <v>982</v>
      </c>
      <c r="G648" t="s">
        <v>251</v>
      </c>
      <c r="J648" s="91">
        <f>J184</f>
        <v>0</v>
      </c>
      <c r="K648" s="91">
        <f t="shared" ref="K648:Y648" si="249">K184</f>
        <v>0</v>
      </c>
      <c r="L648" s="91">
        <f t="shared" si="249"/>
        <v>0</v>
      </c>
      <c r="M648" s="91">
        <f t="shared" si="249"/>
        <v>0</v>
      </c>
      <c r="N648" s="91">
        <f t="shared" si="249"/>
        <v>43.24013387896801</v>
      </c>
      <c r="O648" s="91">
        <f t="shared" si="249"/>
        <v>0</v>
      </c>
      <c r="P648" s="91">
        <f t="shared" si="249"/>
        <v>86.871978979672974</v>
      </c>
      <c r="Q648" s="91">
        <f t="shared" si="249"/>
        <v>0</v>
      </c>
      <c r="R648" s="91">
        <f t="shared" si="249"/>
        <v>0</v>
      </c>
      <c r="S648" s="91">
        <f t="shared" si="249"/>
        <v>0</v>
      </c>
      <c r="T648" s="91">
        <f t="shared" si="249"/>
        <v>0</v>
      </c>
      <c r="U648" s="91">
        <f t="shared" si="249"/>
        <v>0</v>
      </c>
      <c r="V648" s="91">
        <f t="shared" si="249"/>
        <v>0</v>
      </c>
      <c r="W648" s="91">
        <f t="shared" si="249"/>
        <v>0</v>
      </c>
      <c r="X648" s="91">
        <f t="shared" si="249"/>
        <v>0</v>
      </c>
      <c r="Y648" s="91">
        <f t="shared" si="249"/>
        <v>0</v>
      </c>
      <c r="AQ648" s="3"/>
    </row>
    <row r="649" spans="5:43" x14ac:dyDescent="0.35">
      <c r="E649" s="336"/>
      <c r="F649" s="2" t="s">
        <v>981</v>
      </c>
      <c r="G649" t="s">
        <v>251</v>
      </c>
      <c r="J649" s="91">
        <f>J193</f>
        <v>0</v>
      </c>
      <c r="K649" s="91">
        <f t="shared" ref="K649:Y649" si="250">K193</f>
        <v>0</v>
      </c>
      <c r="L649" s="91">
        <f t="shared" si="250"/>
        <v>0</v>
      </c>
      <c r="M649" s="91">
        <f t="shared" si="250"/>
        <v>0</v>
      </c>
      <c r="N649" s="91">
        <f t="shared" si="250"/>
        <v>174.71041997388036</v>
      </c>
      <c r="O649" s="91">
        <f t="shared" si="250"/>
        <v>0</v>
      </c>
      <c r="P649" s="91">
        <f t="shared" si="250"/>
        <v>251.59816098382575</v>
      </c>
      <c r="Q649" s="91">
        <f t="shared" si="250"/>
        <v>0</v>
      </c>
      <c r="R649" s="91">
        <f t="shared" si="250"/>
        <v>0</v>
      </c>
      <c r="S649" s="91">
        <f t="shared" si="250"/>
        <v>0</v>
      </c>
      <c r="T649" s="91">
        <f t="shared" si="250"/>
        <v>0</v>
      </c>
      <c r="U649" s="91">
        <f t="shared" si="250"/>
        <v>0</v>
      </c>
      <c r="V649" s="91">
        <f t="shared" si="250"/>
        <v>0</v>
      </c>
      <c r="W649" s="91">
        <f t="shared" si="250"/>
        <v>0</v>
      </c>
      <c r="X649" s="91">
        <f t="shared" si="250"/>
        <v>0</v>
      </c>
      <c r="Y649" s="91">
        <f t="shared" si="250"/>
        <v>0</v>
      </c>
      <c r="AQ649" s="3"/>
    </row>
    <row r="650" spans="5:43" x14ac:dyDescent="0.35">
      <c r="E650" s="336" t="s">
        <v>253</v>
      </c>
      <c r="F650" s="2"/>
      <c r="J650" s="22"/>
      <c r="K650" s="22"/>
      <c r="L650" s="22"/>
      <c r="M650" s="22"/>
      <c r="N650" s="22"/>
      <c r="O650" s="22"/>
      <c r="P650" s="22"/>
      <c r="Q650" s="22"/>
      <c r="R650" s="22"/>
      <c r="S650" s="22"/>
      <c r="T650" s="22"/>
      <c r="U650" s="22"/>
      <c r="V650" s="22"/>
      <c r="W650" s="22"/>
      <c r="X650" s="22"/>
      <c r="Y650" s="22"/>
      <c r="AQ650" s="3"/>
    </row>
    <row r="651" spans="5:43" x14ac:dyDescent="0.35">
      <c r="E651" s="336"/>
      <c r="F651" s="2" t="s">
        <v>978</v>
      </c>
      <c r="G651" t="s">
        <v>254</v>
      </c>
      <c r="J651" s="121">
        <f>J158</f>
        <v>0</v>
      </c>
      <c r="K651" s="121">
        <f t="shared" ref="K651:Y651" si="251">K158</f>
        <v>0</v>
      </c>
      <c r="L651" s="121">
        <f t="shared" si="251"/>
        <v>0</v>
      </c>
      <c r="M651" s="121">
        <f t="shared" si="251"/>
        <v>0</v>
      </c>
      <c r="N651" s="121">
        <f t="shared" si="251"/>
        <v>0</v>
      </c>
      <c r="O651" s="121">
        <f t="shared" si="251"/>
        <v>0</v>
      </c>
      <c r="P651" s="121">
        <f t="shared" si="251"/>
        <v>0</v>
      </c>
      <c r="Q651" s="121">
        <f t="shared" si="251"/>
        <v>0</v>
      </c>
      <c r="R651" s="121">
        <f t="shared" si="251"/>
        <v>0</v>
      </c>
      <c r="S651" s="121">
        <f t="shared" si="251"/>
        <v>0</v>
      </c>
      <c r="T651" s="121">
        <f t="shared" si="251"/>
        <v>0</v>
      </c>
      <c r="U651" s="121">
        <f t="shared" si="251"/>
        <v>0</v>
      </c>
      <c r="V651" s="121">
        <f t="shared" si="251"/>
        <v>0</v>
      </c>
      <c r="W651" s="121">
        <f t="shared" si="251"/>
        <v>0</v>
      </c>
      <c r="X651" s="121">
        <f t="shared" si="251"/>
        <v>0</v>
      </c>
      <c r="Y651" s="121">
        <f t="shared" si="251"/>
        <v>0</v>
      </c>
      <c r="AQ651" s="3"/>
    </row>
    <row r="652" spans="5:43" x14ac:dyDescent="0.35">
      <c r="E652" s="336"/>
      <c r="F652" s="2" t="s">
        <v>979</v>
      </c>
      <c r="G652" t="s">
        <v>254</v>
      </c>
      <c r="J652" s="346">
        <f>J167</f>
        <v>0</v>
      </c>
      <c r="K652" s="346">
        <f t="shared" ref="K652:Y652" si="252">K167</f>
        <v>0</v>
      </c>
      <c r="L652" s="346">
        <f t="shared" si="252"/>
        <v>0</v>
      </c>
      <c r="M652" s="346">
        <f t="shared" si="252"/>
        <v>0</v>
      </c>
      <c r="N652" s="346">
        <f t="shared" si="252"/>
        <v>2035.2073343001964</v>
      </c>
      <c r="O652" s="346">
        <f t="shared" si="252"/>
        <v>1570.8731092170815</v>
      </c>
      <c r="P652" s="346">
        <f t="shared" si="252"/>
        <v>85.790146563597943</v>
      </c>
      <c r="Q652" s="346">
        <f t="shared" si="252"/>
        <v>0</v>
      </c>
      <c r="R652" s="346">
        <f t="shared" si="252"/>
        <v>0</v>
      </c>
      <c r="S652" s="346">
        <f t="shared" si="252"/>
        <v>0</v>
      </c>
      <c r="T652" s="346">
        <f t="shared" si="252"/>
        <v>0</v>
      </c>
      <c r="U652" s="346">
        <f t="shared" si="252"/>
        <v>0</v>
      </c>
      <c r="V652" s="346">
        <f t="shared" si="252"/>
        <v>0</v>
      </c>
      <c r="W652" s="346">
        <f t="shared" si="252"/>
        <v>0</v>
      </c>
      <c r="X652" s="346">
        <f t="shared" si="252"/>
        <v>0</v>
      </c>
      <c r="Y652" s="346">
        <f t="shared" si="252"/>
        <v>0</v>
      </c>
      <c r="AQ652" s="3"/>
    </row>
    <row r="653" spans="5:43" x14ac:dyDescent="0.35">
      <c r="E653" s="336"/>
      <c r="F653" s="2" t="s">
        <v>980</v>
      </c>
      <c r="G653" t="s">
        <v>254</v>
      </c>
      <c r="J653" s="346">
        <f>J176</f>
        <v>0</v>
      </c>
      <c r="K653" s="346">
        <f t="shared" ref="K653:Y653" si="253">K176</f>
        <v>0</v>
      </c>
      <c r="L653" s="346">
        <f t="shared" si="253"/>
        <v>0</v>
      </c>
      <c r="M653" s="346">
        <f t="shared" si="253"/>
        <v>0</v>
      </c>
      <c r="N653" s="346">
        <f t="shared" si="253"/>
        <v>2619.9128988455604</v>
      </c>
      <c r="O653" s="346">
        <f t="shared" si="253"/>
        <v>11.092938693519278</v>
      </c>
      <c r="P653" s="346">
        <f t="shared" si="253"/>
        <v>162.48456699068279</v>
      </c>
      <c r="Q653" s="346">
        <f t="shared" si="253"/>
        <v>0</v>
      </c>
      <c r="R653" s="346">
        <f t="shared" si="253"/>
        <v>0</v>
      </c>
      <c r="S653" s="346">
        <f t="shared" si="253"/>
        <v>0</v>
      </c>
      <c r="T653" s="346">
        <f t="shared" si="253"/>
        <v>0</v>
      </c>
      <c r="U653" s="346">
        <f t="shared" si="253"/>
        <v>0</v>
      </c>
      <c r="V653" s="346">
        <f t="shared" si="253"/>
        <v>0</v>
      </c>
      <c r="W653" s="346">
        <f t="shared" si="253"/>
        <v>0</v>
      </c>
      <c r="X653" s="346">
        <f t="shared" si="253"/>
        <v>0</v>
      </c>
      <c r="Y653" s="346">
        <f t="shared" si="253"/>
        <v>0</v>
      </c>
      <c r="AQ653" s="3"/>
    </row>
    <row r="654" spans="5:43" x14ac:dyDescent="0.35">
      <c r="E654" s="336"/>
      <c r="F654" s="2" t="s">
        <v>982</v>
      </c>
      <c r="G654" t="s">
        <v>254</v>
      </c>
      <c r="J654" s="91">
        <f>J185</f>
        <v>0</v>
      </c>
      <c r="K654" s="91">
        <f t="shared" ref="K654:Y654" si="254">K185</f>
        <v>0</v>
      </c>
      <c r="L654" s="91">
        <f t="shared" si="254"/>
        <v>0</v>
      </c>
      <c r="M654" s="91">
        <f t="shared" si="254"/>
        <v>0</v>
      </c>
      <c r="N654" s="91">
        <f t="shared" si="254"/>
        <v>1993.619767675026</v>
      </c>
      <c r="O654" s="91">
        <f t="shared" si="254"/>
        <v>56.11018263991842</v>
      </c>
      <c r="P654" s="91">
        <f t="shared" si="254"/>
        <v>23.535918035319249</v>
      </c>
      <c r="Q654" s="91">
        <f t="shared" si="254"/>
        <v>0</v>
      </c>
      <c r="R654" s="91">
        <f t="shared" si="254"/>
        <v>0</v>
      </c>
      <c r="S654" s="91">
        <f t="shared" si="254"/>
        <v>0</v>
      </c>
      <c r="T654" s="91">
        <f t="shared" si="254"/>
        <v>0</v>
      </c>
      <c r="U654" s="91">
        <f t="shared" si="254"/>
        <v>0</v>
      </c>
      <c r="V654" s="91">
        <f t="shared" si="254"/>
        <v>0</v>
      </c>
      <c r="W654" s="91">
        <f t="shared" si="254"/>
        <v>0</v>
      </c>
      <c r="X654" s="91">
        <f t="shared" si="254"/>
        <v>0</v>
      </c>
      <c r="Y654" s="91">
        <f t="shared" si="254"/>
        <v>0</v>
      </c>
      <c r="AQ654" s="3"/>
    </row>
    <row r="655" spans="5:43" x14ac:dyDescent="0.35">
      <c r="E655" s="70"/>
      <c r="F655" s="337" t="s">
        <v>981</v>
      </c>
      <c r="G655" s="28" t="s">
        <v>254</v>
      </c>
      <c r="H655" s="28"/>
      <c r="I655" s="28"/>
      <c r="J655" s="346">
        <f>J194</f>
        <v>0</v>
      </c>
      <c r="K655" s="346">
        <f t="shared" ref="K655:Y655" si="255">K194</f>
        <v>0</v>
      </c>
      <c r="L655" s="346">
        <f t="shared" si="255"/>
        <v>0</v>
      </c>
      <c r="M655" s="346">
        <f t="shared" si="255"/>
        <v>0</v>
      </c>
      <c r="N655" s="346">
        <f t="shared" si="255"/>
        <v>8055.158845105926</v>
      </c>
      <c r="O655" s="346">
        <f t="shared" si="255"/>
        <v>1010.3776873247392</v>
      </c>
      <c r="P655" s="346">
        <f t="shared" si="255"/>
        <v>214.086546576969</v>
      </c>
      <c r="Q655" s="346">
        <f t="shared" si="255"/>
        <v>0</v>
      </c>
      <c r="R655" s="346">
        <f t="shared" si="255"/>
        <v>0</v>
      </c>
      <c r="S655" s="346">
        <f t="shared" si="255"/>
        <v>0</v>
      </c>
      <c r="T655" s="346">
        <f t="shared" si="255"/>
        <v>0</v>
      </c>
      <c r="U655" s="346">
        <f t="shared" si="255"/>
        <v>0</v>
      </c>
      <c r="V655" s="346">
        <f t="shared" si="255"/>
        <v>0</v>
      </c>
      <c r="W655" s="346">
        <f t="shared" si="255"/>
        <v>0</v>
      </c>
      <c r="X655" s="346">
        <f t="shared" si="255"/>
        <v>0</v>
      </c>
      <c r="Y655" s="346">
        <f t="shared" si="255"/>
        <v>0</v>
      </c>
      <c r="AQ655" s="3"/>
    </row>
    <row r="656" spans="5:43" x14ac:dyDescent="0.35">
      <c r="AQ656" s="3"/>
    </row>
    <row r="657" spans="3:43" x14ac:dyDescent="0.35">
      <c r="C657" s="26" t="str">
        <f ca="1">INDEX('Version control'!$H$38:$H$61,MATCH($A$1,'Version control'!$F$38:$F$61,0),1)&amp;"-K: Non-domestic aggregated (related MPAN) distribution across bands"</f>
        <v>Section 104-K: Non-domestic aggregated (related MPAN) distribution across bands</v>
      </c>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c r="AQ657" s="3"/>
    </row>
    <row r="658" spans="3:43" x14ac:dyDescent="0.35">
      <c r="AQ658" s="3"/>
    </row>
    <row r="659" spans="3:43" x14ac:dyDescent="0.35">
      <c r="D659" s="24" t="s">
        <v>1109</v>
      </c>
      <c r="I659" t="s">
        <v>154</v>
      </c>
      <c r="AA659" t="s">
        <v>1138</v>
      </c>
      <c r="AQ659" s="3"/>
    </row>
    <row r="660" spans="3:43" x14ac:dyDescent="0.35">
      <c r="D660" s="24" t="s">
        <v>1110</v>
      </c>
      <c r="AQ660" s="3"/>
    </row>
    <row r="661" spans="3:43" x14ac:dyDescent="0.35">
      <c r="D661" s="24" t="s">
        <v>1111</v>
      </c>
      <c r="AQ661" s="3"/>
    </row>
    <row r="662" spans="3:43" x14ac:dyDescent="0.35">
      <c r="D662" s="24" t="s">
        <v>1112</v>
      </c>
      <c r="AQ662" s="3"/>
    </row>
    <row r="663" spans="3:43" x14ac:dyDescent="0.35">
      <c r="AQ663" s="3"/>
    </row>
    <row r="664" spans="3:43" x14ac:dyDescent="0.35">
      <c r="E664" s="27" t="s">
        <v>987</v>
      </c>
      <c r="J664" s="364" t="s">
        <v>978</v>
      </c>
      <c r="K664" s="364" t="s">
        <v>983</v>
      </c>
      <c r="L664" s="364" t="s">
        <v>984</v>
      </c>
      <c r="M664" s="364" t="s">
        <v>985</v>
      </c>
      <c r="N664" s="364" t="s">
        <v>986</v>
      </c>
      <c r="AQ664" s="3"/>
    </row>
    <row r="665" spans="3:43" x14ac:dyDescent="0.35">
      <c r="E665" s="27"/>
      <c r="F665" s="19" t="s">
        <v>247</v>
      </c>
      <c r="G665" s="19" t="s">
        <v>167</v>
      </c>
      <c r="H665" s="19"/>
      <c r="I665" s="19"/>
      <c r="J665" s="327">
        <f>'Inputs by customer type'!J169</f>
        <v>6.9881283783035242E-5</v>
      </c>
      <c r="K665" s="327">
        <f>'Inputs by customer type'!K169</f>
        <v>8.338015563338147E-2</v>
      </c>
      <c r="L665" s="327">
        <f>'Inputs by customer type'!L169</f>
        <v>0.17341694945816932</v>
      </c>
      <c r="M665" s="327">
        <f>'Inputs by customer type'!M169</f>
        <v>0.19994511806014342</v>
      </c>
      <c r="N665" s="327">
        <f>'Inputs by customer type'!N169</f>
        <v>0.54318789556452285</v>
      </c>
      <c r="AQ665" s="3"/>
    </row>
    <row r="666" spans="3:43" x14ac:dyDescent="0.35">
      <c r="E666" s="27"/>
      <c r="F666" t="s">
        <v>248</v>
      </c>
      <c r="G666" t="s">
        <v>167</v>
      </c>
      <c r="J666" s="328">
        <f>'Inputs by customer type'!J170</f>
        <v>6.9881283783035242E-5</v>
      </c>
      <c r="K666" s="328">
        <f>'Inputs by customer type'!K170</f>
        <v>8.338015563338147E-2</v>
      </c>
      <c r="L666" s="328">
        <f>'Inputs by customer type'!L170</f>
        <v>0.17341694945816932</v>
      </c>
      <c r="M666" s="328">
        <f>'Inputs by customer type'!M170</f>
        <v>0.19994511806014342</v>
      </c>
      <c r="N666" s="328">
        <f>'Inputs by customer type'!N170</f>
        <v>0.54318789556452285</v>
      </c>
      <c r="AQ666" s="3"/>
    </row>
    <row r="667" spans="3:43" x14ac:dyDescent="0.35">
      <c r="E667" s="27"/>
      <c r="F667" s="28" t="s">
        <v>249</v>
      </c>
      <c r="G667" s="28" t="s">
        <v>167</v>
      </c>
      <c r="H667" s="28"/>
      <c r="I667" s="28"/>
      <c r="J667" s="329">
        <f>'Inputs by customer type'!J171</f>
        <v>6.9881283783035242E-5</v>
      </c>
      <c r="K667" s="329">
        <f>'Inputs by customer type'!K171</f>
        <v>8.338015563338147E-2</v>
      </c>
      <c r="L667" s="329">
        <f>'Inputs by customer type'!L171</f>
        <v>0.17341694945816932</v>
      </c>
      <c r="M667" s="329">
        <f>'Inputs by customer type'!M171</f>
        <v>0.19994511806014342</v>
      </c>
      <c r="N667" s="329">
        <f>'Inputs by customer type'!N171</f>
        <v>0.54318789556452285</v>
      </c>
      <c r="AQ667" s="3"/>
    </row>
    <row r="668" spans="3:43" x14ac:dyDescent="0.35">
      <c r="E668" s="27"/>
      <c r="AQ668" s="3"/>
    </row>
    <row r="669" spans="3:43" x14ac:dyDescent="0.35">
      <c r="E669" s="27" t="s">
        <v>988</v>
      </c>
      <c r="J669" s="364" t="s">
        <v>978</v>
      </c>
      <c r="K669" s="364" t="s">
        <v>983</v>
      </c>
      <c r="L669" s="364" t="s">
        <v>984</v>
      </c>
      <c r="M669" s="364" t="s">
        <v>985</v>
      </c>
      <c r="N669" s="364" t="s">
        <v>986</v>
      </c>
      <c r="AQ669" s="3"/>
    </row>
    <row r="670" spans="3:43" x14ac:dyDescent="0.35">
      <c r="E670" s="27"/>
      <c r="F670" s="19" t="s">
        <v>247</v>
      </c>
      <c r="G670" s="19" t="s">
        <v>167</v>
      </c>
      <c r="H670" s="19"/>
      <c r="I670" s="19"/>
      <c r="J670" s="327">
        <f>'Inputs by customer type'!J174</f>
        <v>5.4949039989870706E-4</v>
      </c>
      <c r="K670" s="327">
        <f>'Inputs by customer type'!K174</f>
        <v>0.37004183256892303</v>
      </c>
      <c r="L670" s="327">
        <f>'Inputs by customer type'!L174</f>
        <v>0.13174124533947323</v>
      </c>
      <c r="M670" s="327">
        <f>'Inputs by customer type'!M174</f>
        <v>0.23992816058395947</v>
      </c>
      <c r="N670" s="327">
        <f>'Inputs by customer type'!N174</f>
        <v>0.25773927110774558</v>
      </c>
      <c r="AQ670" s="3"/>
    </row>
    <row r="671" spans="3:43" x14ac:dyDescent="0.35">
      <c r="E671" s="27"/>
      <c r="F671" t="s">
        <v>248</v>
      </c>
      <c r="G671" t="s">
        <v>167</v>
      </c>
      <c r="J671" s="328">
        <f>'Inputs by customer type'!J175</f>
        <v>5.4949039989870706E-4</v>
      </c>
      <c r="K671" s="328">
        <f>'Inputs by customer type'!K175</f>
        <v>0.37004183256892303</v>
      </c>
      <c r="L671" s="328">
        <f>'Inputs by customer type'!L175</f>
        <v>0.13174124533947323</v>
      </c>
      <c r="M671" s="328">
        <f>'Inputs by customer type'!M175</f>
        <v>0.23992816058395947</v>
      </c>
      <c r="N671" s="328">
        <f>'Inputs by customer type'!N175</f>
        <v>0.25773927110774558</v>
      </c>
      <c r="AQ671" s="3"/>
    </row>
    <row r="672" spans="3:43" x14ac:dyDescent="0.35">
      <c r="E672" s="27"/>
      <c r="F672" s="28" t="s">
        <v>249</v>
      </c>
      <c r="G672" s="28" t="s">
        <v>167</v>
      </c>
      <c r="H672" s="28"/>
      <c r="I672" s="28"/>
      <c r="J672" s="329">
        <f>'Inputs by customer type'!J176</f>
        <v>5.4949039989870706E-4</v>
      </c>
      <c r="K672" s="329">
        <f>'Inputs by customer type'!K176</f>
        <v>0.37004183256892303</v>
      </c>
      <c r="L672" s="329">
        <f>'Inputs by customer type'!L176</f>
        <v>0.13174124533947323</v>
      </c>
      <c r="M672" s="329">
        <f>'Inputs by customer type'!M176</f>
        <v>0.23992816058395947</v>
      </c>
      <c r="N672" s="329">
        <f>'Inputs by customer type'!N176</f>
        <v>0.25773927110774558</v>
      </c>
      <c r="AQ672" s="3"/>
    </row>
    <row r="673" spans="5:43" x14ac:dyDescent="0.35">
      <c r="E673" s="27"/>
      <c r="AQ673" s="3"/>
    </row>
    <row r="674" spans="5:43" x14ac:dyDescent="0.35">
      <c r="E674" s="27" t="s">
        <v>989</v>
      </c>
      <c r="J674" s="364" t="s">
        <v>978</v>
      </c>
      <c r="K674" s="364" t="s">
        <v>983</v>
      </c>
      <c r="L674" s="364" t="s">
        <v>984</v>
      </c>
      <c r="M674" s="364" t="s">
        <v>985</v>
      </c>
      <c r="N674" s="364" t="s">
        <v>986</v>
      </c>
      <c r="AQ674" s="3"/>
    </row>
    <row r="675" spans="5:43" x14ac:dyDescent="0.35">
      <c r="F675" s="19" t="s">
        <v>247</v>
      </c>
      <c r="G675" s="19" t="s">
        <v>167</v>
      </c>
      <c r="H675" s="19"/>
      <c r="I675" s="19"/>
      <c r="J675" s="327">
        <f>'Inputs by customer type'!J179</f>
        <v>0.26290354922799253</v>
      </c>
      <c r="K675" s="327">
        <f>'Inputs by customer type'!K179</f>
        <v>0.15191541486124827</v>
      </c>
      <c r="L675" s="327">
        <f>'Inputs by customer type'!L179</f>
        <v>0.33689985266039546</v>
      </c>
      <c r="M675" s="327">
        <f>'Inputs by customer type'!M179</f>
        <v>0.24828118325036358</v>
      </c>
      <c r="N675" s="327">
        <f>'Inputs by customer type'!N179</f>
        <v>0</v>
      </c>
      <c r="AQ675" s="3"/>
    </row>
    <row r="676" spans="5:43" x14ac:dyDescent="0.35">
      <c r="F676" t="s">
        <v>248</v>
      </c>
      <c r="G676" t="s">
        <v>167</v>
      </c>
      <c r="J676" s="328">
        <f>'Inputs by customer type'!J180</f>
        <v>0.26290354922799253</v>
      </c>
      <c r="K676" s="328">
        <f>'Inputs by customer type'!K180</f>
        <v>0.15191541486124827</v>
      </c>
      <c r="L676" s="328">
        <f>'Inputs by customer type'!L180</f>
        <v>0.33689985266039546</v>
      </c>
      <c r="M676" s="328">
        <f>'Inputs by customer type'!M180</f>
        <v>0.24828118325036358</v>
      </c>
      <c r="N676" s="328">
        <f>'Inputs by customer type'!N180</f>
        <v>0</v>
      </c>
      <c r="AQ676" s="3"/>
    </row>
    <row r="677" spans="5:43" x14ac:dyDescent="0.35">
      <c r="F677" s="28" t="s">
        <v>249</v>
      </c>
      <c r="G677" s="28" t="s">
        <v>167</v>
      </c>
      <c r="H677" s="28"/>
      <c r="I677" s="28"/>
      <c r="J677" s="329">
        <f>'Inputs by customer type'!J181</f>
        <v>0.26290354922799253</v>
      </c>
      <c r="K677" s="329">
        <f>'Inputs by customer type'!K181</f>
        <v>0.15191541486124827</v>
      </c>
      <c r="L677" s="329">
        <f>'Inputs by customer type'!L181</f>
        <v>0.33689985266039546</v>
      </c>
      <c r="M677" s="329">
        <f>'Inputs by customer type'!M181</f>
        <v>0.24828118325036358</v>
      </c>
      <c r="N677" s="329">
        <f>'Inputs by customer type'!N181</f>
        <v>0</v>
      </c>
      <c r="AQ677" s="3"/>
    </row>
    <row r="678" spans="5:43" x14ac:dyDescent="0.35">
      <c r="AQ678" s="3"/>
    </row>
    <row r="679" spans="5:43" x14ac:dyDescent="0.35">
      <c r="E679" s="27" t="s">
        <v>991</v>
      </c>
      <c r="J679" s="364" t="s">
        <v>978</v>
      </c>
      <c r="K679" s="364" t="s">
        <v>983</v>
      </c>
      <c r="L679" s="364" t="s">
        <v>984</v>
      </c>
      <c r="M679" s="364" t="s">
        <v>985</v>
      </c>
      <c r="N679" s="364" t="s">
        <v>986</v>
      </c>
      <c r="AQ679" s="3"/>
    </row>
    <row r="680" spans="5:43" x14ac:dyDescent="0.35">
      <c r="F680" s="19" t="s">
        <v>247</v>
      </c>
      <c r="G680" s="19" t="s">
        <v>207</v>
      </c>
      <c r="H680" s="19"/>
      <c r="I680" s="19"/>
      <c r="J680" s="348">
        <f t="shared" ref="J680:N682" si="256" xml:space="preserve"> $M58 * J665  + $M105 * J670 + $M152 * J675</f>
        <v>7.454381063251013</v>
      </c>
      <c r="K680" s="348">
        <f t="shared" si="256"/>
        <v>59.534715493250644</v>
      </c>
      <c r="L680" s="348">
        <f t="shared" si="256"/>
        <v>115.48731507911377</v>
      </c>
      <c r="M680" s="348">
        <f t="shared" si="256"/>
        <v>130.43800955856233</v>
      </c>
      <c r="N680" s="348">
        <f t="shared" si="256"/>
        <v>329.84795860917552</v>
      </c>
      <c r="AQ680" s="3"/>
    </row>
    <row r="681" spans="5:43" x14ac:dyDescent="0.35">
      <c r="F681" t="s">
        <v>248</v>
      </c>
      <c r="G681" t="s">
        <v>207</v>
      </c>
      <c r="J681" s="347">
        <f t="shared" si="256"/>
        <v>45.630501811765285</v>
      </c>
      <c r="K681" s="347">
        <f t="shared" si="256"/>
        <v>707.11786231821395</v>
      </c>
      <c r="L681" s="347">
        <f t="shared" si="256"/>
        <v>1420.5697020585919</v>
      </c>
      <c r="M681" s="347">
        <f t="shared" si="256"/>
        <v>1621.2801070376634</v>
      </c>
      <c r="N681" s="347">
        <f t="shared" si="256"/>
        <v>4255.7761256498206</v>
      </c>
      <c r="AQ681" s="3"/>
    </row>
    <row r="682" spans="5:43" x14ac:dyDescent="0.35">
      <c r="F682" s="28" t="s">
        <v>249</v>
      </c>
      <c r="G682" s="28" t="s">
        <v>207</v>
      </c>
      <c r="H682" s="28"/>
      <c r="I682" s="28"/>
      <c r="J682" s="349">
        <f t="shared" si="256"/>
        <v>24.294652999082889</v>
      </c>
      <c r="K682" s="349">
        <f t="shared" si="256"/>
        <v>2153.1310690816053</v>
      </c>
      <c r="L682" s="349">
        <f t="shared" si="256"/>
        <v>4455.6381839061232</v>
      </c>
      <c r="M682" s="349">
        <f t="shared" si="256"/>
        <v>5128.596503058593</v>
      </c>
      <c r="N682" s="349">
        <f t="shared" si="256"/>
        <v>13860.057841397602</v>
      </c>
      <c r="AQ682" s="3"/>
    </row>
    <row r="683" spans="5:43" x14ac:dyDescent="0.35">
      <c r="J683" s="79"/>
      <c r="K683" s="79"/>
      <c r="L683" s="79"/>
      <c r="M683" s="79"/>
      <c r="N683" s="79"/>
      <c r="AQ683" s="3"/>
    </row>
    <row r="684" spans="5:43" x14ac:dyDescent="0.35">
      <c r="J684" s="365" t="s">
        <v>978</v>
      </c>
      <c r="K684" s="365" t="s">
        <v>983</v>
      </c>
      <c r="L684" s="365" t="s">
        <v>984</v>
      </c>
      <c r="M684" s="365" t="s">
        <v>985</v>
      </c>
      <c r="N684" s="365" t="s">
        <v>986</v>
      </c>
      <c r="AQ684" s="3"/>
    </row>
    <row r="685" spans="5:43" x14ac:dyDescent="0.35">
      <c r="E685" s="20" t="s">
        <v>992</v>
      </c>
      <c r="G685" t="s">
        <v>207</v>
      </c>
      <c r="J685" s="79">
        <f>SUM(J680:J682)</f>
        <v>77.37953587409919</v>
      </c>
      <c r="K685" s="79">
        <f>SUM(K680:K682)</f>
        <v>2919.78364689307</v>
      </c>
      <c r="L685" s="79">
        <f t="shared" ref="L685:N685" si="257">SUM(L680:L682)</f>
        <v>5991.695201043829</v>
      </c>
      <c r="M685" s="79">
        <f t="shared" si="257"/>
        <v>6880.3146196548187</v>
      </c>
      <c r="N685" s="79">
        <f t="shared" si="257"/>
        <v>18445.681925656598</v>
      </c>
      <c r="AQ685" s="3"/>
    </row>
    <row r="686" spans="5:43" x14ac:dyDescent="0.35">
      <c r="J686" s="79"/>
      <c r="K686" s="79"/>
      <c r="L686" s="79"/>
      <c r="M686" s="79"/>
      <c r="N686" s="79"/>
      <c r="AQ686" s="3"/>
    </row>
    <row r="687" spans="5:43" x14ac:dyDescent="0.35">
      <c r="E687" t="s">
        <v>1036</v>
      </c>
      <c r="G687" t="s">
        <v>207</v>
      </c>
      <c r="H687" s="79">
        <f>SUM(J685:N685)</f>
        <v>34314.854929122419</v>
      </c>
      <c r="AQ687" s="3"/>
    </row>
    <row r="688" spans="5:43" x14ac:dyDescent="0.35">
      <c r="J688" s="365" t="s">
        <v>978</v>
      </c>
      <c r="K688" s="365" t="s">
        <v>983</v>
      </c>
      <c r="L688" s="365" t="s">
        <v>984</v>
      </c>
      <c r="M688" s="365" t="s">
        <v>985</v>
      </c>
      <c r="N688" s="365" t="s">
        <v>986</v>
      </c>
      <c r="AQ688" s="3"/>
    </row>
    <row r="689" spans="2:43" x14ac:dyDescent="0.35">
      <c r="E689" s="20" t="s">
        <v>991</v>
      </c>
      <c r="G689" t="s">
        <v>167</v>
      </c>
      <c r="J689" s="101">
        <f>IF($H687 &lt;&gt; 0, J685/$H687, 0)</f>
        <v>2.2549865367033368E-3</v>
      </c>
      <c r="K689" s="101">
        <f>IF($H687 &lt;&gt; 0, K685/$H687, 0)</f>
        <v>8.5088037030140562E-2</v>
      </c>
      <c r="L689" s="101">
        <f>IF($H687 &lt;&gt; 0, L685/$H687, 0)</f>
        <v>0.17460937000665511</v>
      </c>
      <c r="M689" s="101">
        <f>IF($H687 &lt;&gt; 0, M685/$H687, 0)</f>
        <v>0.20050542640690622</v>
      </c>
      <c r="N689" s="101">
        <f>IF($H687 &lt;&gt; 0, N685/$H687, 0)</f>
        <v>0.53754218001959464</v>
      </c>
      <c r="AQ689" s="3"/>
    </row>
    <row r="690" spans="2:43" x14ac:dyDescent="0.35">
      <c r="AQ690" s="3"/>
    </row>
    <row r="691" spans="2:43" x14ac:dyDescent="0.35">
      <c r="B691" s="25" t="s">
        <v>231</v>
      </c>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C691" s="25"/>
      <c r="AD691" s="25"/>
      <c r="AE691" s="25"/>
      <c r="AF691" s="25"/>
      <c r="AG691" s="25"/>
      <c r="AH691" s="25"/>
      <c r="AI691" s="25"/>
      <c r="AJ691" s="25"/>
      <c r="AK691" s="25"/>
      <c r="AL691" s="25"/>
      <c r="AM691" s="25"/>
      <c r="AN691" s="25"/>
      <c r="AO691" s="25"/>
      <c r="AQ691" s="25"/>
    </row>
    <row r="693" spans="2:43" x14ac:dyDescent="0.35">
      <c r="E693" t="s">
        <v>232</v>
      </c>
      <c r="G693" s="6" t="s">
        <v>55</v>
      </c>
      <c r="H693" s="93">
        <f t="array" ref="H693">SUM(IF(ISERROR(H22:Y309), 1))</f>
        <v>0</v>
      </c>
    </row>
    <row r="695" spans="2:43" x14ac:dyDescent="0.35">
      <c r="B695" s="25" t="s">
        <v>106</v>
      </c>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C695" s="25"/>
      <c r="AD695" s="25"/>
      <c r="AE695" s="25"/>
      <c r="AF695" s="25"/>
      <c r="AG695" s="25"/>
      <c r="AH695" s="25"/>
      <c r="AI695" s="25"/>
      <c r="AJ695" s="25"/>
      <c r="AK695" s="25"/>
      <c r="AL695" s="25"/>
      <c r="AM695" s="25"/>
      <c r="AN695" s="25"/>
      <c r="AO695" s="25"/>
      <c r="AQ695" s="25"/>
    </row>
  </sheetData>
  <sheetProtection sheet="1" objects="1" formatCells="0" formatColumns="0" formatRows="0" sort="0" autoFilter="0"/>
  <conditionalFormatting sqref="A4:I4 Z4:XFD4">
    <cfRule type="expression" dxfId="165" priority="10">
      <formula>LEFT($A$4,1) &lt;&gt; "0"</formula>
    </cfRule>
  </conditionalFormatting>
  <conditionalFormatting sqref="N4:P4">
    <cfRule type="expression" dxfId="164" priority="9">
      <formula>LEFT($A$4,1) &lt;&gt; "0"</formula>
    </cfRule>
  </conditionalFormatting>
  <conditionalFormatting sqref="L4:M4">
    <cfRule type="expression" dxfId="163" priority="8">
      <formula>LEFT($A$4,1) &lt;&gt; "0"</formula>
    </cfRule>
  </conditionalFormatting>
  <conditionalFormatting sqref="J4:K4">
    <cfRule type="expression" dxfId="162" priority="7">
      <formula>LEFT($A$4,1) &lt;&gt; "0"</formula>
    </cfRule>
  </conditionalFormatting>
  <conditionalFormatting sqref="Q4">
    <cfRule type="expression" dxfId="161" priority="6">
      <formula>LEFT($A$4,1) &lt;&gt; "0"</formula>
    </cfRule>
  </conditionalFormatting>
  <conditionalFormatting sqref="R4:S4">
    <cfRule type="expression" dxfId="160" priority="5">
      <formula>LEFT($A$4,1) &lt;&gt; "0"</formula>
    </cfRule>
  </conditionalFormatting>
  <conditionalFormatting sqref="T4:U4">
    <cfRule type="expression" dxfId="159" priority="4">
      <formula>LEFT($A$4,1) &lt;&gt; "0"</formula>
    </cfRule>
  </conditionalFormatting>
  <conditionalFormatting sqref="V4:W4">
    <cfRule type="expression" dxfId="158" priority="3">
      <formula>LEFT($A$4,1) &lt;&gt; "0"</formula>
    </cfRule>
  </conditionalFormatting>
  <conditionalFormatting sqref="X4:Y4">
    <cfRule type="expression" dxfId="157" priority="2">
      <formula>LEFT($A$4,1) &lt;&gt; "0"</formula>
    </cfRule>
  </conditionalFormatting>
  <conditionalFormatting sqref="H693">
    <cfRule type="cellIs" dxfId="156" priority="1" operator="greaterThan">
      <formula>0</formula>
    </cfRule>
  </conditionalFormatting>
  <dataValidations count="2">
    <dataValidation type="decimal" operator="greaterThanOrEqual" allowBlank="1" showInputMessage="1" showErrorMessage="1" sqref="Y198:Y223" xr:uid="{D98DE04A-625D-4FF5-BFC5-D4CAD8501B89}">
      <formula1>0</formula1>
    </dataValidation>
    <dataValidation type="decimal" operator="greaterThanOrEqual" allowBlank="1" showInputMessage="1" showErrorMessage="1" errorTitle="Invalid volume data" error="Invalid volume data (negative number or unused cell)." sqref="Q209:R210 J212:Y223 J199:Y208" xr:uid="{00000000-0002-0000-0600-000003000000}">
      <formula1>0</formula1>
    </dataValidation>
  </dataValidations>
  <hyperlinks>
    <hyperlink ref="B5:F5" location="'Model map'!A1" display="Click here to return to model map" xr:uid="{00000000-0004-0000-0C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9" width="24.54296875" hidden="1" customWidth="1"/>
    <col min="30" max="30" width="3.54296875" hidden="1" customWidth="1"/>
    <col min="31" max="31" width="15.453125" hidden="1" customWidth="1"/>
    <col min="32" max="306" width="24.54296875" hidden="1" customWidth="1"/>
    <col min="307" max="16384" width="8.54296875" hidden="1"/>
  </cols>
  <sheetData>
    <row r="1" spans="1:27" s="1" customFormat="1" x14ac:dyDescent="0.35">
      <c r="A1" s="1" t="str">
        <f ca="1">MID(CELL("filename",A1),FIND("]",CELL("filename",A1))+1,255)</f>
        <v>Pseudo-load coefficients</v>
      </c>
    </row>
    <row r="2" spans="1:27" s="1" customFormat="1" x14ac:dyDescent="0.35">
      <c r="A2" s="1" t="str">
        <f>Cover!D21&amp;" - "&amp;Cover!D23</f>
        <v>Southern Electric Power Distribution - Final</v>
      </c>
    </row>
    <row r="3" spans="1:27" s="5" customFormat="1" x14ac:dyDescent="0.35">
      <c r="A3" s="5" t="str">
        <f>Cover!D2&amp;" - "&amp;Cover!D8&amp;" v"&amp;Cover!D10&amp;" - "&amp;Cover!D19</f>
        <v>CDCM charging model - Release for charge setting v9 - 2024/25</v>
      </c>
    </row>
    <row r="4" spans="1:27" x14ac:dyDescent="0.35">
      <c r="A4" s="11" t="str">
        <f>H306 &amp; IF(H306 = 1, " issue", " issues") &amp;" identified in checks on this sheet"</f>
        <v>0 issues identified in checks on this sheet</v>
      </c>
      <c r="B4" s="12"/>
      <c r="C4" s="12"/>
      <c r="D4" s="12"/>
      <c r="E4" s="12"/>
      <c r="F4" s="12"/>
      <c r="G4" s="12"/>
      <c r="H4" s="13"/>
      <c r="I4" s="13"/>
    </row>
    <row r="5" spans="1:27" ht="43.5" x14ac:dyDescent="0.35">
      <c r="B5" s="49" t="s">
        <v>142</v>
      </c>
      <c r="C5" s="50"/>
      <c r="D5" s="50"/>
      <c r="E5" s="50"/>
      <c r="F5" s="50"/>
      <c r="G5" s="50" t="s">
        <v>143</v>
      </c>
      <c r="H5" s="104" t="s">
        <v>144</v>
      </c>
      <c r="I5" s="13"/>
      <c r="J5" s="104" t="s">
        <v>827</v>
      </c>
      <c r="K5" s="104" t="s">
        <v>829</v>
      </c>
      <c r="L5" s="104" t="s">
        <v>828</v>
      </c>
      <c r="M5" s="104" t="s">
        <v>830</v>
      </c>
      <c r="N5" s="104" t="s">
        <v>836</v>
      </c>
      <c r="O5" s="104" t="s">
        <v>837</v>
      </c>
      <c r="P5" s="104" t="s">
        <v>838</v>
      </c>
      <c r="Q5" s="104" t="s">
        <v>839</v>
      </c>
      <c r="R5" s="104" t="s">
        <v>831</v>
      </c>
      <c r="S5" s="104" t="s">
        <v>832</v>
      </c>
      <c r="T5" s="104" t="s">
        <v>833</v>
      </c>
      <c r="U5" s="104" t="s">
        <v>842</v>
      </c>
      <c r="V5" s="104" t="s">
        <v>834</v>
      </c>
      <c r="W5" s="104" t="s">
        <v>841</v>
      </c>
      <c r="X5" s="104" t="s">
        <v>835</v>
      </c>
      <c r="Y5" s="104" t="s">
        <v>840</v>
      </c>
      <c r="AA5" s="50" t="s">
        <v>145</v>
      </c>
    </row>
    <row r="7" spans="1:27" x14ac:dyDescent="0.35">
      <c r="B7" s="25" t="s">
        <v>10</v>
      </c>
      <c r="C7" s="95"/>
      <c r="D7" s="94"/>
      <c r="E7" s="94"/>
      <c r="F7" s="95"/>
      <c r="G7" s="95"/>
      <c r="H7" s="95"/>
      <c r="I7" s="95"/>
      <c r="J7" s="95"/>
      <c r="K7" s="95"/>
      <c r="L7" s="95"/>
      <c r="M7" s="95"/>
      <c r="N7" s="95"/>
      <c r="O7" s="95"/>
      <c r="P7" s="95"/>
      <c r="Q7" s="95"/>
      <c r="R7" s="95"/>
      <c r="S7" s="95"/>
      <c r="T7" s="95"/>
      <c r="U7" s="95"/>
      <c r="V7" s="95"/>
      <c r="W7" s="95"/>
      <c r="X7" s="95"/>
      <c r="Y7" s="95"/>
      <c r="Z7" s="95"/>
      <c r="AA7" s="95"/>
    </row>
    <row r="9" spans="1:27" x14ac:dyDescent="0.35">
      <c r="C9" s="24" t="s">
        <v>862</v>
      </c>
    </row>
    <row r="10" spans="1:27" x14ac:dyDescent="0.35">
      <c r="C10" s="24" t="s">
        <v>455</v>
      </c>
    </row>
    <row r="11" spans="1:27" x14ac:dyDescent="0.35">
      <c r="C11" s="24" t="s">
        <v>456</v>
      </c>
    </row>
    <row r="13" spans="1:27" x14ac:dyDescent="0.35">
      <c r="B13" s="25" t="s">
        <v>457</v>
      </c>
      <c r="C13" s="95"/>
      <c r="D13" s="94"/>
      <c r="E13" s="94"/>
      <c r="F13" s="95"/>
      <c r="G13" s="95"/>
      <c r="H13" s="95"/>
      <c r="I13" s="95"/>
      <c r="J13" s="95"/>
      <c r="K13" s="95"/>
      <c r="L13" s="95"/>
      <c r="M13" s="95"/>
      <c r="N13" s="95"/>
      <c r="O13" s="95"/>
      <c r="P13" s="95"/>
      <c r="Q13" s="95"/>
      <c r="R13" s="95"/>
      <c r="S13" s="95"/>
      <c r="T13" s="95"/>
      <c r="U13" s="95"/>
      <c r="V13" s="95"/>
      <c r="W13" s="95"/>
      <c r="X13" s="95"/>
      <c r="Y13" s="95"/>
      <c r="Z13" s="95"/>
      <c r="AA13" s="95"/>
    </row>
    <row r="15" spans="1:27" x14ac:dyDescent="0.35">
      <c r="C15" s="24" t="s">
        <v>859</v>
      </c>
      <c r="I15" t="s">
        <v>154</v>
      </c>
      <c r="AA15" t="s">
        <v>860</v>
      </c>
    </row>
    <row r="16" spans="1:27" x14ac:dyDescent="0.35">
      <c r="C16" s="24" t="s">
        <v>458</v>
      </c>
    </row>
    <row r="18" spans="3:27" x14ac:dyDescent="0.35">
      <c r="C18" s="26" t="str">
        <f ca="1">INDEX('Version control'!$H$38:$H$61,MATCH($A$1,'Version control'!$F$38:$F$61,0),1)&amp;"-A: Flags and hours in timebands"</f>
        <v>Section 105-A: Flags and hours in timebands</v>
      </c>
      <c r="D18" s="26"/>
      <c r="E18" s="26"/>
      <c r="F18" s="26"/>
      <c r="G18" s="26"/>
      <c r="H18" s="26"/>
      <c r="I18" s="26"/>
      <c r="J18" s="26"/>
      <c r="K18" s="26"/>
      <c r="L18" s="26"/>
      <c r="M18" s="26"/>
      <c r="N18" s="26"/>
      <c r="O18" s="26"/>
      <c r="P18" s="26"/>
      <c r="Q18" s="26"/>
      <c r="R18" s="26"/>
      <c r="S18" s="26"/>
      <c r="T18" s="26"/>
      <c r="U18" s="26"/>
      <c r="V18" s="26"/>
      <c r="W18" s="26"/>
      <c r="X18" s="26"/>
      <c r="Y18" s="26"/>
      <c r="Z18" s="26"/>
      <c r="AA18" s="26"/>
    </row>
    <row r="20" spans="3:27" x14ac:dyDescent="0.35">
      <c r="E20" s="299" t="s">
        <v>459</v>
      </c>
      <c r="F20" s="300"/>
      <c r="G20" s="300" t="s">
        <v>460</v>
      </c>
      <c r="J20" s="301" t="b">
        <f>'Fixed inputs'!J127</f>
        <v>0</v>
      </c>
      <c r="K20" s="301" t="b">
        <f>'Fixed inputs'!K127</f>
        <v>0</v>
      </c>
      <c r="L20" s="301" t="b">
        <f>'Fixed inputs'!L127</f>
        <v>0</v>
      </c>
      <c r="M20" s="301" t="b">
        <f>'Fixed inputs'!M127</f>
        <v>0</v>
      </c>
      <c r="N20" s="301" t="b">
        <f>'Fixed inputs'!N127</f>
        <v>0</v>
      </c>
      <c r="O20" s="301" t="b">
        <f>'Fixed inputs'!O127</f>
        <v>0</v>
      </c>
      <c r="P20" s="301" t="b">
        <f>'Fixed inputs'!P127</f>
        <v>0</v>
      </c>
      <c r="Q20" s="301" t="b">
        <f>'Fixed inputs'!Q127</f>
        <v>1</v>
      </c>
      <c r="R20" s="301" t="b">
        <f>'Fixed inputs'!R127</f>
        <v>0</v>
      </c>
      <c r="S20" s="301" t="b">
        <f>'Fixed inputs'!S127</f>
        <v>0</v>
      </c>
      <c r="T20" s="301" t="b">
        <f>'Fixed inputs'!T127</f>
        <v>0</v>
      </c>
      <c r="U20" s="301" t="b">
        <f>'Fixed inputs'!U127</f>
        <v>0</v>
      </c>
      <c r="V20" s="301" t="b">
        <f>'Fixed inputs'!V127</f>
        <v>0</v>
      </c>
      <c r="W20" s="301" t="b">
        <f>'Fixed inputs'!W127</f>
        <v>0</v>
      </c>
      <c r="X20" s="301" t="b">
        <f>'Fixed inputs'!X127</f>
        <v>0</v>
      </c>
      <c r="Y20" s="301" t="b">
        <f>'Fixed inputs'!Y127</f>
        <v>0</v>
      </c>
    </row>
    <row r="22" spans="3:27" x14ac:dyDescent="0.35">
      <c r="E22" s="27" t="s">
        <v>461</v>
      </c>
      <c r="I22" t="s">
        <v>154</v>
      </c>
      <c r="AA22" t="s">
        <v>462</v>
      </c>
    </row>
    <row r="23" spans="3:27" x14ac:dyDescent="0.35">
      <c r="E23" s="24" t="s">
        <v>463</v>
      </c>
      <c r="F23" s="24"/>
    </row>
    <row r="24" spans="3:27" x14ac:dyDescent="0.35">
      <c r="F24" s="54" t="s">
        <v>464</v>
      </c>
      <c r="G24" s="54" t="s">
        <v>147</v>
      </c>
      <c r="H24" s="139"/>
      <c r="I24" s="139"/>
      <c r="J24" s="114">
        <f>IF(J$20, 'General inputs'!$H16, 'General inputs'!$H21)</f>
        <v>783</v>
      </c>
      <c r="K24" s="114">
        <f>IF(K$20, 'General inputs'!$H16, 'General inputs'!$H21)</f>
        <v>783</v>
      </c>
      <c r="L24" s="114">
        <f>IF(L$20, 'General inputs'!$H16, 'General inputs'!$H21)</f>
        <v>783</v>
      </c>
      <c r="M24" s="114">
        <f>IF(M$20, 'General inputs'!$H16, 'General inputs'!$H21)</f>
        <v>783</v>
      </c>
      <c r="N24" s="114">
        <f>IF(N$20, 'General inputs'!$H16, 'General inputs'!$H21)</f>
        <v>783</v>
      </c>
      <c r="O24" s="114">
        <f>IF(O$20, 'General inputs'!$H16, 'General inputs'!$H21)</f>
        <v>783</v>
      </c>
      <c r="P24" s="114">
        <f>IF(P$20, 'General inputs'!$H16, 'General inputs'!$H21)</f>
        <v>783</v>
      </c>
      <c r="Q24" s="114">
        <f>IF(Q$20, 'General inputs'!$H16, 'General inputs'!$H21)</f>
        <v>258</v>
      </c>
      <c r="R24" s="114">
        <f>IF(R$20, 'General inputs'!$H16, 'General inputs'!$H21)</f>
        <v>783</v>
      </c>
      <c r="S24" s="114">
        <f>IF(S$20, 'General inputs'!$H16, 'General inputs'!$H21)</f>
        <v>783</v>
      </c>
      <c r="T24" s="114">
        <f>IF(T$20, 'General inputs'!$H16, 'General inputs'!$H21)</f>
        <v>783</v>
      </c>
      <c r="U24" s="114">
        <f>IF(U$20, 'General inputs'!$H16, 'General inputs'!$H21)</f>
        <v>783</v>
      </c>
      <c r="V24" s="114">
        <f>IF(V$20, 'General inputs'!$H16, 'General inputs'!$H21)</f>
        <v>783</v>
      </c>
      <c r="W24" s="114">
        <f>IF(W$20, 'General inputs'!$H16, 'General inputs'!$H21)</f>
        <v>783</v>
      </c>
      <c r="X24" s="114">
        <f>IF(X$20, 'General inputs'!$H16, 'General inputs'!$H21)</f>
        <v>783</v>
      </c>
      <c r="Y24" s="114">
        <f>IF(Y$20, 'General inputs'!$H16, 'General inputs'!$H21)</f>
        <v>783</v>
      </c>
    </row>
    <row r="25" spans="3:27" x14ac:dyDescent="0.35">
      <c r="F25" s="23" t="s">
        <v>465</v>
      </c>
      <c r="G25" t="s">
        <v>147</v>
      </c>
      <c r="H25" s="140"/>
      <c r="I25" s="140"/>
      <c r="J25" s="110">
        <f>IF(J$20, 'General inputs'!$H17, 'General inputs'!$H22)</f>
        <v>4380</v>
      </c>
      <c r="K25" s="110">
        <f>IF(K$20, 'General inputs'!$H17, 'General inputs'!$H22)</f>
        <v>4380</v>
      </c>
      <c r="L25" s="110">
        <f>IF(L$20, 'General inputs'!$H17, 'General inputs'!$H22)</f>
        <v>4380</v>
      </c>
      <c r="M25" s="110">
        <f>IF(M$20, 'General inputs'!$H17, 'General inputs'!$H22)</f>
        <v>4380</v>
      </c>
      <c r="N25" s="110">
        <f>IF(N$20, 'General inputs'!$H17, 'General inputs'!$H22)</f>
        <v>4380</v>
      </c>
      <c r="O25" s="110">
        <f>IF(O$20, 'General inputs'!$H17, 'General inputs'!$H22)</f>
        <v>4380</v>
      </c>
      <c r="P25" s="110">
        <f>IF(P$20, 'General inputs'!$H17, 'General inputs'!$H22)</f>
        <v>4380</v>
      </c>
      <c r="Q25" s="110">
        <f>IF(Q$20, 'General inputs'!$H17, 'General inputs'!$H22)</f>
        <v>4905</v>
      </c>
      <c r="R25" s="110">
        <f>IF(R$20, 'General inputs'!$H17, 'General inputs'!$H22)</f>
        <v>4380</v>
      </c>
      <c r="S25" s="110">
        <f>IF(S$20, 'General inputs'!$H17, 'General inputs'!$H22)</f>
        <v>4380</v>
      </c>
      <c r="T25" s="110">
        <f>IF(T$20, 'General inputs'!$H17, 'General inputs'!$H22)</f>
        <v>4380</v>
      </c>
      <c r="U25" s="110">
        <f>IF(U$20, 'General inputs'!$H17, 'General inputs'!$H22)</f>
        <v>4380</v>
      </c>
      <c r="V25" s="110">
        <f>IF(V$20, 'General inputs'!$H17, 'General inputs'!$H22)</f>
        <v>4380</v>
      </c>
      <c r="W25" s="110">
        <f>IF(W$20, 'General inputs'!$H17, 'General inputs'!$H22)</f>
        <v>4380</v>
      </c>
      <c r="X25" s="110">
        <f>IF(X$20, 'General inputs'!$H17, 'General inputs'!$H22)</f>
        <v>4380</v>
      </c>
      <c r="Y25" s="110">
        <f>IF(Y$20, 'General inputs'!$H17, 'General inputs'!$H22)</f>
        <v>4380</v>
      </c>
    </row>
    <row r="26" spans="3:27" x14ac:dyDescent="0.35">
      <c r="F26" s="57" t="s">
        <v>257</v>
      </c>
      <c r="G26" s="28" t="s">
        <v>147</v>
      </c>
      <c r="H26" s="141"/>
      <c r="I26" s="141"/>
      <c r="J26" s="115">
        <f>IF(J$20, 'General inputs'!$H18, 'General inputs'!$H23)</f>
        <v>3597</v>
      </c>
      <c r="K26" s="115">
        <f>IF(K$20, 'General inputs'!$H18, 'General inputs'!$H23)</f>
        <v>3597</v>
      </c>
      <c r="L26" s="115">
        <f>IF(L$20, 'General inputs'!$H18, 'General inputs'!$H23)</f>
        <v>3597</v>
      </c>
      <c r="M26" s="115">
        <f>IF(M$20, 'General inputs'!$H18, 'General inputs'!$H23)</f>
        <v>3597</v>
      </c>
      <c r="N26" s="115">
        <f>IF(N$20, 'General inputs'!$H18, 'General inputs'!$H23)</f>
        <v>3597</v>
      </c>
      <c r="O26" s="115">
        <f>IF(O$20, 'General inputs'!$H18, 'General inputs'!$H23)</f>
        <v>3597</v>
      </c>
      <c r="P26" s="115">
        <f>IF(P$20, 'General inputs'!$H18, 'General inputs'!$H23)</f>
        <v>3597</v>
      </c>
      <c r="Q26" s="115">
        <f>IF(Q$20, 'General inputs'!$H18, 'General inputs'!$H23)</f>
        <v>3597</v>
      </c>
      <c r="R26" s="115">
        <f>IF(R$20, 'General inputs'!$H18, 'General inputs'!$H23)</f>
        <v>3597</v>
      </c>
      <c r="S26" s="115">
        <f>IF(S$20, 'General inputs'!$H18, 'General inputs'!$H23)</f>
        <v>3597</v>
      </c>
      <c r="T26" s="115">
        <f>IF(T$20, 'General inputs'!$H18, 'General inputs'!$H23)</f>
        <v>3597</v>
      </c>
      <c r="U26" s="115">
        <f>IF(U$20, 'General inputs'!$H18, 'General inputs'!$H23)</f>
        <v>3597</v>
      </c>
      <c r="V26" s="115">
        <f>IF(V$20, 'General inputs'!$H18, 'General inputs'!$H23)</f>
        <v>3597</v>
      </c>
      <c r="W26" s="115">
        <f>IF(W$20, 'General inputs'!$H18, 'General inputs'!$H23)</f>
        <v>3597</v>
      </c>
      <c r="X26" s="115">
        <f>IF(X$20, 'General inputs'!$H18, 'General inputs'!$H23)</f>
        <v>3597</v>
      </c>
      <c r="Y26" s="115">
        <f>IF(Y$20, 'General inputs'!$H18, 'General inputs'!$H23)</f>
        <v>3597</v>
      </c>
    </row>
    <row r="27" spans="3:27" x14ac:dyDescent="0.35">
      <c r="J27" s="79"/>
      <c r="K27" s="79"/>
      <c r="L27" s="79"/>
      <c r="M27" s="79"/>
      <c r="N27" s="79"/>
      <c r="O27" s="79"/>
      <c r="P27" s="79"/>
      <c r="Q27" s="79"/>
      <c r="R27" s="79"/>
      <c r="S27" s="79"/>
      <c r="T27" s="79"/>
      <c r="U27" s="79"/>
      <c r="V27" s="79"/>
      <c r="W27" s="79"/>
      <c r="X27" s="79"/>
      <c r="Y27" s="79"/>
    </row>
    <row r="28" spans="3:27" x14ac:dyDescent="0.35">
      <c r="C28" s="26" t="str">
        <f ca="1">INDEX('Version control'!$H$38:$H$61,MATCH($A$1,'Version control'!$F$38:$F$61,0),1)&amp;"-B: Average load by timeband"</f>
        <v>Section 105-B: Average load by timeband</v>
      </c>
      <c r="D28" s="26"/>
      <c r="E28" s="26"/>
      <c r="F28" s="26"/>
      <c r="G28" s="26"/>
      <c r="H28" s="26"/>
      <c r="I28" s="26"/>
      <c r="J28" s="80"/>
      <c r="K28" s="80"/>
      <c r="L28" s="80"/>
      <c r="M28" s="80"/>
      <c r="N28" s="80"/>
      <c r="O28" s="80"/>
      <c r="P28" s="80"/>
      <c r="Q28" s="80"/>
      <c r="R28" s="80"/>
      <c r="S28" s="80"/>
      <c r="T28" s="80"/>
      <c r="U28" s="80"/>
      <c r="V28" s="80"/>
      <c r="W28" s="80"/>
      <c r="X28" s="80"/>
      <c r="Y28" s="80"/>
      <c r="Z28" s="26"/>
      <c r="AA28" s="26"/>
    </row>
    <row r="29" spans="3:27" x14ac:dyDescent="0.35">
      <c r="J29" s="79"/>
      <c r="K29" s="79"/>
      <c r="L29" s="79"/>
      <c r="M29" s="79"/>
      <c r="N29" s="79"/>
      <c r="O29" s="79"/>
      <c r="P29" s="79"/>
      <c r="Q29" s="79"/>
      <c r="R29" s="79"/>
      <c r="S29" s="79"/>
      <c r="T29" s="79"/>
      <c r="U29" s="79"/>
      <c r="V29" s="79"/>
      <c r="W29" s="79"/>
      <c r="X29" s="79"/>
      <c r="Y29" s="79"/>
    </row>
    <row r="30" spans="3:27" x14ac:dyDescent="0.35">
      <c r="E30" s="27" t="s">
        <v>466</v>
      </c>
      <c r="J30" s="79"/>
      <c r="K30" s="79"/>
      <c r="L30" s="79"/>
      <c r="M30" s="79"/>
      <c r="N30" s="79"/>
      <c r="O30" s="79"/>
      <c r="P30" s="79"/>
      <c r="Q30" s="79"/>
      <c r="R30" s="79"/>
      <c r="S30" s="79"/>
      <c r="T30" s="79"/>
      <c r="U30" s="79"/>
      <c r="V30" s="79"/>
      <c r="W30" s="79"/>
      <c r="X30" s="79"/>
      <c r="Y30" s="79"/>
    </row>
    <row r="31" spans="3:27" x14ac:dyDescent="0.35">
      <c r="F31" s="54" t="s">
        <v>156</v>
      </c>
      <c r="G31" s="54" t="s">
        <v>207</v>
      </c>
      <c r="H31" s="19"/>
      <c r="I31" s="19"/>
      <c r="J31" s="114">
        <f>'Volume adjustments'!J238</f>
        <v>1195141.300122248</v>
      </c>
      <c r="K31" s="114">
        <f>'Volume adjustments'!K238</f>
        <v>385.85428212338678</v>
      </c>
      <c r="L31" s="114">
        <f>'Volume adjustments'!L238</f>
        <v>306610.07946500048</v>
      </c>
      <c r="M31" s="114">
        <f>'Volume adjustments'!M238</f>
        <v>622.21371742398651</v>
      </c>
      <c r="N31" s="114">
        <f>'Volume adjustments'!N238</f>
        <v>507627.89091275056</v>
      </c>
      <c r="O31" s="114">
        <f>'Volume adjustments'!O238</f>
        <v>30024.274193225458</v>
      </c>
      <c r="P31" s="114">
        <f>'Volume adjustments'!P238</f>
        <v>381698.94877583603</v>
      </c>
      <c r="Q31" s="114">
        <f>'Volume adjustments'!Q238</f>
        <v>9390.0610476398779</v>
      </c>
      <c r="R31" s="114">
        <f>'Volume adjustments'!R238</f>
        <v>952.63299999999981</v>
      </c>
      <c r="S31" s="114">
        <f>'Volume adjustments'!S238</f>
        <v>34.794999999999995</v>
      </c>
      <c r="T31" s="114">
        <f>'Volume adjustments'!T238</f>
        <v>4651.0746980075764</v>
      </c>
      <c r="U31" s="114">
        <f>'Volume adjustments'!U238</f>
        <v>0</v>
      </c>
      <c r="V31" s="114">
        <f>'Volume adjustments'!V238</f>
        <v>0</v>
      </c>
      <c r="W31" s="114">
        <f>'Volume adjustments'!W238</f>
        <v>0</v>
      </c>
      <c r="X31" s="114">
        <f>'Volume adjustments'!X238</f>
        <v>83725.653155247186</v>
      </c>
      <c r="Y31" s="114">
        <f>'Volume adjustments'!Y238</f>
        <v>0</v>
      </c>
    </row>
    <row r="32" spans="3:27" x14ac:dyDescent="0.35">
      <c r="F32" s="23" t="s">
        <v>157</v>
      </c>
      <c r="G32" s="23" t="s">
        <v>207</v>
      </c>
      <c r="J32" s="110">
        <f>'Volume adjustments'!J249</f>
        <v>5245246.7360017952</v>
      </c>
      <c r="K32" s="110">
        <f>'Volume adjustments'!K249</f>
        <v>37493.164568451517</v>
      </c>
      <c r="L32" s="110">
        <f>'Volume adjustments'!L249</f>
        <v>1938276.5616068235</v>
      </c>
      <c r="M32" s="110">
        <f>'Volume adjustments'!M249</f>
        <v>7925.7233535387522</v>
      </c>
      <c r="N32" s="110">
        <f>'Volume adjustments'!N249</f>
        <v>2920133.3574268813</v>
      </c>
      <c r="O32" s="110">
        <f>'Volume adjustments'!O249</f>
        <v>170233.34532851295</v>
      </c>
      <c r="P32" s="110">
        <f>'Volume adjustments'!P249</f>
        <v>2145404.0889467075</v>
      </c>
      <c r="Q32" s="110">
        <f>'Volume adjustments'!Q249</f>
        <v>68698.296662678986</v>
      </c>
      <c r="R32" s="110">
        <f>'Volume adjustments'!R249</f>
        <v>8088.5750000000007</v>
      </c>
      <c r="S32" s="110">
        <f>'Volume adjustments'!S249</f>
        <v>170.797</v>
      </c>
      <c r="T32" s="110">
        <f>'Volume adjustments'!T249</f>
        <v>36562.572785299533</v>
      </c>
      <c r="U32" s="110">
        <f>'Volume adjustments'!U249</f>
        <v>0</v>
      </c>
      <c r="V32" s="110">
        <f>'Volume adjustments'!V249</f>
        <v>0</v>
      </c>
      <c r="W32" s="110">
        <f>'Volume adjustments'!W249</f>
        <v>0</v>
      </c>
      <c r="X32" s="110">
        <f>'Volume adjustments'!X249</f>
        <v>532059.97125989269</v>
      </c>
      <c r="Y32" s="110">
        <f>'Volume adjustments'!Y249</f>
        <v>0</v>
      </c>
    </row>
    <row r="33" spans="3:27" x14ac:dyDescent="0.35">
      <c r="F33" s="23" t="s">
        <v>158</v>
      </c>
      <c r="G33" s="23" t="s">
        <v>207</v>
      </c>
      <c r="J33" s="110">
        <f>'Volume adjustments'!J260</f>
        <v>2888603.6716125715</v>
      </c>
      <c r="K33" s="110">
        <f>'Volume adjustments'!K260</f>
        <v>91372.316099402669</v>
      </c>
      <c r="L33" s="110">
        <f>'Volume adjustments'!L260</f>
        <v>922830.31988349603</v>
      </c>
      <c r="M33" s="110">
        <f>'Volume adjustments'!M260</f>
        <v>25560.92942792672</v>
      </c>
      <c r="N33" s="110">
        <f>'Volume adjustments'!N260</f>
        <v>1606447.8189767241</v>
      </c>
      <c r="O33" s="110">
        <f>'Volume adjustments'!O260</f>
        <v>112066.97919290072</v>
      </c>
      <c r="P33" s="110">
        <f>'Volume adjustments'!P260</f>
        <v>1478741.4093654291</v>
      </c>
      <c r="Q33" s="110">
        <f>'Volume adjustments'!Q260</f>
        <v>107386.00037173675</v>
      </c>
      <c r="R33" s="110">
        <f>'Volume adjustments'!R260</f>
        <v>812.69199999999978</v>
      </c>
      <c r="S33" s="110">
        <f>'Volume adjustments'!S260</f>
        <v>24.104999999999997</v>
      </c>
      <c r="T33" s="110">
        <f>'Volume adjustments'!T260</f>
        <v>11217.299058567434</v>
      </c>
      <c r="U33" s="110">
        <f>'Volume adjustments'!U260</f>
        <v>0</v>
      </c>
      <c r="V33" s="110">
        <f>'Volume adjustments'!V260</f>
        <v>0</v>
      </c>
      <c r="W33" s="110">
        <f>'Volume adjustments'!W260</f>
        <v>0</v>
      </c>
      <c r="X33" s="110">
        <f>'Volume adjustments'!X260</f>
        <v>252499.59274264879</v>
      </c>
      <c r="Y33" s="110">
        <f>'Volume adjustments'!Y260</f>
        <v>0</v>
      </c>
    </row>
    <row r="34" spans="3:27" x14ac:dyDescent="0.35">
      <c r="F34" s="142" t="s">
        <v>454</v>
      </c>
      <c r="G34" s="142" t="s">
        <v>207</v>
      </c>
      <c r="H34" s="98"/>
      <c r="I34" s="98"/>
      <c r="J34" s="143">
        <f t="shared" ref="J34:Y34" si="0">SUM(J31:J33)</f>
        <v>9328991.7077366151</v>
      </c>
      <c r="K34" s="143">
        <f t="shared" si="0"/>
        <v>129251.33494997758</v>
      </c>
      <c r="L34" s="143">
        <f t="shared" si="0"/>
        <v>3167716.9609553199</v>
      </c>
      <c r="M34" s="143">
        <f t="shared" si="0"/>
        <v>34108.86649888946</v>
      </c>
      <c r="N34" s="143">
        <f t="shared" si="0"/>
        <v>5034209.0673163561</v>
      </c>
      <c r="O34" s="143">
        <f t="shared" si="0"/>
        <v>312324.59871463914</v>
      </c>
      <c r="P34" s="143">
        <f t="shared" si="0"/>
        <v>4005844.4470879729</v>
      </c>
      <c r="Q34" s="143">
        <f t="shared" si="0"/>
        <v>185474.35808205561</v>
      </c>
      <c r="R34" s="143">
        <f t="shared" si="0"/>
        <v>9853.9</v>
      </c>
      <c r="S34" s="143">
        <f t="shared" si="0"/>
        <v>229.69699999999997</v>
      </c>
      <c r="T34" s="143">
        <f t="shared" si="0"/>
        <v>52430.946541874546</v>
      </c>
      <c r="U34" s="143">
        <f t="shared" si="0"/>
        <v>0</v>
      </c>
      <c r="V34" s="143">
        <f t="shared" si="0"/>
        <v>0</v>
      </c>
      <c r="W34" s="143">
        <f t="shared" si="0"/>
        <v>0</v>
      </c>
      <c r="X34" s="143">
        <f t="shared" si="0"/>
        <v>868285.21715778869</v>
      </c>
      <c r="Y34" s="143">
        <f t="shared" si="0"/>
        <v>0</v>
      </c>
    </row>
    <row r="35" spans="3:27" x14ac:dyDescent="0.35">
      <c r="F35" s="23"/>
      <c r="G35" s="23"/>
      <c r="J35" s="21"/>
      <c r="K35" s="21"/>
      <c r="L35" s="21"/>
      <c r="M35" s="21"/>
      <c r="N35" s="21"/>
      <c r="O35" s="21"/>
      <c r="P35" s="21"/>
      <c r="Q35" s="21"/>
      <c r="R35" s="21"/>
      <c r="S35" s="21"/>
      <c r="T35" s="21"/>
      <c r="U35" s="21"/>
      <c r="V35" s="21"/>
      <c r="W35" s="21"/>
      <c r="X35" s="21"/>
      <c r="Y35" s="21"/>
      <c r="Z35" s="21"/>
    </row>
    <row r="36" spans="3:27" x14ac:dyDescent="0.35">
      <c r="C36" s="26" t="str">
        <f ca="1">INDEX('Version control'!$H$38:$H$61,MATCH($A$1,'Version control'!$F$38:$F$61,0),1)&amp;"-C: Aggregated groups for pseudo-load coefficients"</f>
        <v>Section 105-C: Aggregated groups for pseudo-load coefficients</v>
      </c>
      <c r="D36" s="26"/>
      <c r="E36" s="26"/>
      <c r="F36" s="26"/>
      <c r="G36" s="26"/>
      <c r="H36" s="26"/>
      <c r="I36" s="26"/>
      <c r="J36" s="80"/>
      <c r="K36" s="80"/>
      <c r="L36" s="80"/>
      <c r="M36" s="80"/>
      <c r="N36" s="80"/>
      <c r="O36" s="80"/>
      <c r="P36" s="80"/>
      <c r="Q36" s="80"/>
      <c r="R36" s="80"/>
      <c r="S36" s="80"/>
      <c r="T36" s="80"/>
      <c r="U36" s="80"/>
      <c r="V36" s="80"/>
      <c r="W36" s="80"/>
      <c r="X36" s="80"/>
      <c r="Y36" s="80"/>
      <c r="Z36" s="26"/>
      <c r="AA36" s="26"/>
    </row>
    <row r="37" spans="3:27" x14ac:dyDescent="0.35">
      <c r="J37" s="79"/>
      <c r="K37" s="79"/>
      <c r="L37" s="79"/>
      <c r="M37" s="79"/>
      <c r="N37" s="79"/>
      <c r="O37" s="79"/>
      <c r="P37" s="79"/>
      <c r="Q37" s="79"/>
      <c r="R37" s="79"/>
      <c r="S37" s="79"/>
      <c r="T37" s="79"/>
      <c r="U37" s="79"/>
      <c r="V37" s="79"/>
      <c r="W37" s="79"/>
      <c r="X37" s="79"/>
      <c r="Y37" s="79"/>
    </row>
    <row r="38" spans="3:27" x14ac:dyDescent="0.35">
      <c r="E38" s="23" t="s">
        <v>846</v>
      </c>
      <c r="F38" s="23"/>
      <c r="G38" s="23" t="s">
        <v>149</v>
      </c>
      <c r="I38" t="s">
        <v>154</v>
      </c>
      <c r="J38" s="302">
        <f>'Fixed inputs'!J149</f>
        <v>1</v>
      </c>
      <c r="K38" s="302">
        <f>'Fixed inputs'!K149</f>
        <v>1</v>
      </c>
      <c r="L38" s="302">
        <f>'Fixed inputs'!L149</f>
        <v>2</v>
      </c>
      <c r="M38" s="302">
        <f>'Fixed inputs'!M149</f>
        <v>2</v>
      </c>
      <c r="N38" s="302">
        <f>'Fixed inputs'!N149</f>
        <v>3</v>
      </c>
      <c r="O38" s="302">
        <f>'Fixed inputs'!O149</f>
        <v>4</v>
      </c>
      <c r="P38" s="302">
        <f>'Fixed inputs'!P149</f>
        <v>5</v>
      </c>
      <c r="Q38" s="303"/>
      <c r="R38" s="303"/>
      <c r="S38" s="303"/>
      <c r="T38" s="303"/>
      <c r="U38" s="303"/>
      <c r="V38" s="303"/>
      <c r="W38" s="303"/>
      <c r="X38" s="303"/>
      <c r="Y38" s="303"/>
      <c r="AA38" t="s">
        <v>858</v>
      </c>
    </row>
    <row r="39" spans="3:27" x14ac:dyDescent="0.35">
      <c r="J39" s="79"/>
      <c r="K39" s="79"/>
      <c r="L39" s="79"/>
      <c r="M39" s="79"/>
      <c r="N39" s="79"/>
      <c r="O39" s="79"/>
      <c r="P39" s="79"/>
      <c r="Q39" s="79"/>
      <c r="R39" s="79"/>
      <c r="S39" s="79"/>
      <c r="T39" s="79"/>
      <c r="U39" s="79"/>
      <c r="V39" s="79"/>
      <c r="W39" s="79"/>
      <c r="X39" s="79"/>
      <c r="Y39" s="79"/>
    </row>
    <row r="40" spans="3:27" x14ac:dyDescent="0.35">
      <c r="E40" s="27" t="s">
        <v>847</v>
      </c>
      <c r="J40" s="79"/>
      <c r="K40" s="79"/>
      <c r="L40" s="79"/>
      <c r="M40" s="79"/>
      <c r="N40" s="79"/>
      <c r="O40" s="79"/>
      <c r="P40" s="79"/>
      <c r="Q40" s="79"/>
      <c r="R40" s="79"/>
      <c r="S40" s="79"/>
      <c r="T40" s="79"/>
      <c r="U40" s="79"/>
      <c r="V40" s="79"/>
      <c r="W40" s="79"/>
      <c r="X40" s="79"/>
      <c r="Y40" s="79"/>
    </row>
    <row r="41" spans="3:27" x14ac:dyDescent="0.35">
      <c r="E41" s="24" t="s">
        <v>463</v>
      </c>
    </row>
    <row r="42" spans="3:27" x14ac:dyDescent="0.35">
      <c r="F42" s="54" t="s">
        <v>464</v>
      </c>
      <c r="G42" s="54" t="s">
        <v>167</v>
      </c>
      <c r="H42" s="19"/>
      <c r="I42" s="19"/>
      <c r="J42" s="144">
        <f t="shared" ref="J42:P44" si="1">SUMIF($J$38:$Y$38, J$38, $J31:$Y31) / SUMIF($J$38:$Y$38, J$38, $J$34:$Y$34)</f>
        <v>0.12640055335951536</v>
      </c>
      <c r="K42" s="144">
        <f t="shared" si="1"/>
        <v>0.12640055335951536</v>
      </c>
      <c r="L42" s="144">
        <f t="shared" si="1"/>
        <v>9.5955342276286978E-2</v>
      </c>
      <c r="M42" s="144">
        <f t="shared" si="1"/>
        <v>9.5955342276286978E-2</v>
      </c>
      <c r="N42" s="144">
        <f t="shared" si="1"/>
        <v>0.10083567927451166</v>
      </c>
      <c r="O42" s="144">
        <f t="shared" si="1"/>
        <v>9.6131634577581462E-2</v>
      </c>
      <c r="P42" s="144">
        <f t="shared" si="1"/>
        <v>9.5285514407158281E-2</v>
      </c>
      <c r="Q42" s="304"/>
      <c r="R42" s="304"/>
      <c r="S42" s="304"/>
      <c r="T42" s="304"/>
      <c r="U42" s="304"/>
      <c r="V42" s="304"/>
      <c r="W42" s="304"/>
      <c r="X42" s="304"/>
      <c r="Y42" s="304"/>
    </row>
    <row r="43" spans="3:27" x14ac:dyDescent="0.35">
      <c r="F43" s="23" t="s">
        <v>465</v>
      </c>
      <c r="G43" s="23" t="s">
        <v>167</v>
      </c>
      <c r="J43" s="135">
        <f t="shared" si="1"/>
        <v>0.55853289841764264</v>
      </c>
      <c r="K43" s="135">
        <f t="shared" si="1"/>
        <v>0.55853289841764264</v>
      </c>
      <c r="L43" s="135">
        <f t="shared" si="1"/>
        <v>0.6078413973279112</v>
      </c>
      <c r="M43" s="135">
        <f t="shared" si="1"/>
        <v>0.6078413973279112</v>
      </c>
      <c r="N43" s="135">
        <f t="shared" si="1"/>
        <v>0.58005802269621487</v>
      </c>
      <c r="O43" s="135">
        <f t="shared" si="1"/>
        <v>0.54505263443578333</v>
      </c>
      <c r="P43" s="135">
        <f t="shared" si="1"/>
        <v>0.53556849680129182</v>
      </c>
      <c r="Q43" s="60"/>
      <c r="R43" s="60"/>
      <c r="S43" s="60"/>
      <c r="T43" s="60"/>
      <c r="U43" s="60"/>
      <c r="V43" s="60"/>
      <c r="W43" s="60"/>
      <c r="X43" s="60"/>
      <c r="Y43" s="60"/>
    </row>
    <row r="44" spans="3:27" x14ac:dyDescent="0.35">
      <c r="F44" s="57" t="s">
        <v>257</v>
      </c>
      <c r="G44" s="57" t="s">
        <v>167</v>
      </c>
      <c r="H44" s="28"/>
      <c r="I44" s="28"/>
      <c r="J44" s="145">
        <f t="shared" si="1"/>
        <v>0.31506654822284186</v>
      </c>
      <c r="K44" s="145">
        <f t="shared" si="1"/>
        <v>0.31506654822284186</v>
      </c>
      <c r="L44" s="145">
        <f t="shared" si="1"/>
        <v>0.2962032603958018</v>
      </c>
      <c r="M44" s="145">
        <f t="shared" si="1"/>
        <v>0.2962032603958018</v>
      </c>
      <c r="N44" s="145">
        <f t="shared" si="1"/>
        <v>0.31910629802927348</v>
      </c>
      <c r="O44" s="145">
        <f t="shared" si="1"/>
        <v>0.35881573098663511</v>
      </c>
      <c r="P44" s="145">
        <f t="shared" si="1"/>
        <v>0.36914598879154986</v>
      </c>
      <c r="Q44" s="61"/>
      <c r="R44" s="61"/>
      <c r="S44" s="61"/>
      <c r="T44" s="61"/>
      <c r="U44" s="61"/>
      <c r="V44" s="61"/>
      <c r="W44" s="61"/>
      <c r="X44" s="61"/>
      <c r="Y44" s="61"/>
    </row>
    <row r="45" spans="3:27" x14ac:dyDescent="0.35">
      <c r="J45" s="79"/>
      <c r="K45" s="79"/>
      <c r="L45" s="79"/>
      <c r="M45" s="79"/>
      <c r="N45" s="79"/>
      <c r="O45" s="79"/>
      <c r="P45" s="79"/>
      <c r="Q45" s="79"/>
      <c r="R45" s="79"/>
      <c r="S45" s="79"/>
      <c r="T45" s="79"/>
      <c r="U45" s="79"/>
      <c r="V45" s="79"/>
      <c r="W45" s="79"/>
      <c r="X45" s="79"/>
      <c r="Y45" s="79"/>
    </row>
    <row r="46" spans="3:27" x14ac:dyDescent="0.35">
      <c r="E46" s="27" t="s">
        <v>848</v>
      </c>
      <c r="F46" s="23"/>
      <c r="G46" s="23"/>
    </row>
    <row r="47" spans="3:27" x14ac:dyDescent="0.35">
      <c r="E47" s="24" t="s">
        <v>463</v>
      </c>
    </row>
    <row r="48" spans="3:27" x14ac:dyDescent="0.35">
      <c r="F48" s="54" t="s">
        <v>464</v>
      </c>
      <c r="G48" s="54" t="s">
        <v>167</v>
      </c>
      <c r="H48" s="19"/>
      <c r="I48" s="19"/>
      <c r="J48" s="144">
        <f>IF(ISNUMBER(J$38), J42, IF(J$34 = 0, 0, J31 / J$34))</f>
        <v>0.12640055335951536</v>
      </c>
      <c r="K48" s="144">
        <f t="shared" ref="K48:Y48" si="2">IF(ISNUMBER(K$38), K42, IF(K$34 = 0, 0, K31 / K$34))</f>
        <v>0.12640055335951536</v>
      </c>
      <c r="L48" s="144">
        <f t="shared" si="2"/>
        <v>9.5955342276286978E-2</v>
      </c>
      <c r="M48" s="144">
        <f t="shared" si="2"/>
        <v>9.5955342276286978E-2</v>
      </c>
      <c r="N48" s="144">
        <f t="shared" si="2"/>
        <v>0.10083567927451166</v>
      </c>
      <c r="O48" s="144">
        <f t="shared" si="2"/>
        <v>9.6131634577581462E-2</v>
      </c>
      <c r="P48" s="144">
        <f t="shared" si="2"/>
        <v>9.5285514407158281E-2</v>
      </c>
      <c r="Q48" s="144">
        <f t="shared" si="2"/>
        <v>5.0627273466478995E-2</v>
      </c>
      <c r="R48" s="144">
        <f t="shared" si="2"/>
        <v>9.6675732451110719E-2</v>
      </c>
      <c r="S48" s="144">
        <f t="shared" si="2"/>
        <v>0.15148216998915962</v>
      </c>
      <c r="T48" s="144">
        <f t="shared" si="2"/>
        <v>8.8708577753654413E-2</v>
      </c>
      <c r="U48" s="144">
        <f t="shared" si="2"/>
        <v>0</v>
      </c>
      <c r="V48" s="144">
        <f t="shared" si="2"/>
        <v>0</v>
      </c>
      <c r="W48" s="144">
        <f t="shared" si="2"/>
        <v>0</v>
      </c>
      <c r="X48" s="144">
        <f t="shared" si="2"/>
        <v>9.6426440875397493E-2</v>
      </c>
      <c r="Y48" s="144">
        <f t="shared" si="2"/>
        <v>0</v>
      </c>
    </row>
    <row r="49" spans="2:27" x14ac:dyDescent="0.35">
      <c r="F49" s="23" t="s">
        <v>465</v>
      </c>
      <c r="G49" s="23" t="s">
        <v>167</v>
      </c>
      <c r="J49" s="135">
        <f t="shared" ref="J49:Y49" si="3">IF(ISNUMBER(J$38), J43, IF(J$34 = 0, 0, J32 / J$34))</f>
        <v>0.55853289841764264</v>
      </c>
      <c r="K49" s="135">
        <f t="shared" si="3"/>
        <v>0.55853289841764264</v>
      </c>
      <c r="L49" s="135">
        <f t="shared" si="3"/>
        <v>0.6078413973279112</v>
      </c>
      <c r="M49" s="135">
        <f t="shared" si="3"/>
        <v>0.6078413973279112</v>
      </c>
      <c r="N49" s="135">
        <f t="shared" si="3"/>
        <v>0.58005802269621487</v>
      </c>
      <c r="O49" s="135">
        <f t="shared" si="3"/>
        <v>0.54505263443578333</v>
      </c>
      <c r="P49" s="135">
        <f t="shared" si="3"/>
        <v>0.53556849680129182</v>
      </c>
      <c r="Q49" s="135">
        <f t="shared" si="3"/>
        <v>0.37039242175075332</v>
      </c>
      <c r="R49" s="135">
        <f t="shared" si="3"/>
        <v>0.82085012025695425</v>
      </c>
      <c r="S49" s="135">
        <f t="shared" si="3"/>
        <v>0.74357523171830719</v>
      </c>
      <c r="T49" s="135">
        <f t="shared" si="3"/>
        <v>0.69734718132731854</v>
      </c>
      <c r="U49" s="135">
        <f t="shared" si="3"/>
        <v>0</v>
      </c>
      <c r="V49" s="135">
        <f t="shared" si="3"/>
        <v>0</v>
      </c>
      <c r="W49" s="135">
        <f t="shared" si="3"/>
        <v>0</v>
      </c>
      <c r="X49" s="135">
        <f t="shared" si="3"/>
        <v>0.61277096597534764</v>
      </c>
      <c r="Y49" s="135">
        <f t="shared" si="3"/>
        <v>0</v>
      </c>
    </row>
    <row r="50" spans="2:27" x14ac:dyDescent="0.35">
      <c r="F50" s="57" t="s">
        <v>257</v>
      </c>
      <c r="G50" s="57" t="s">
        <v>167</v>
      </c>
      <c r="H50" s="28"/>
      <c r="I50" s="28"/>
      <c r="J50" s="145">
        <f t="shared" ref="J50:Y50" si="4">IF(ISNUMBER(J$38), J44, IF(J$34 = 0, 0, J33 / J$34))</f>
        <v>0.31506654822284186</v>
      </c>
      <c r="K50" s="145">
        <f t="shared" si="4"/>
        <v>0.31506654822284186</v>
      </c>
      <c r="L50" s="145">
        <f t="shared" si="4"/>
        <v>0.2962032603958018</v>
      </c>
      <c r="M50" s="145">
        <f t="shared" si="4"/>
        <v>0.2962032603958018</v>
      </c>
      <c r="N50" s="145">
        <f t="shared" si="4"/>
        <v>0.31910629802927348</v>
      </c>
      <c r="O50" s="145">
        <f t="shared" si="4"/>
        <v>0.35881573098663511</v>
      </c>
      <c r="P50" s="145">
        <f t="shared" si="4"/>
        <v>0.36914598879154986</v>
      </c>
      <c r="Q50" s="145">
        <f t="shared" si="4"/>
        <v>0.57898030478276774</v>
      </c>
      <c r="R50" s="145">
        <f t="shared" si="4"/>
        <v>8.2474147291935154E-2</v>
      </c>
      <c r="S50" s="145">
        <f t="shared" si="4"/>
        <v>0.1049425982925332</v>
      </c>
      <c r="T50" s="145">
        <f t="shared" si="4"/>
        <v>0.21394424091902703</v>
      </c>
      <c r="U50" s="145">
        <f t="shared" si="4"/>
        <v>0</v>
      </c>
      <c r="V50" s="145">
        <f t="shared" si="4"/>
        <v>0</v>
      </c>
      <c r="W50" s="145">
        <f t="shared" si="4"/>
        <v>0</v>
      </c>
      <c r="X50" s="145">
        <f t="shared" si="4"/>
        <v>0.29080259314925483</v>
      </c>
      <c r="Y50" s="145">
        <f t="shared" si="4"/>
        <v>0</v>
      </c>
    </row>
    <row r="52" spans="2:27" x14ac:dyDescent="0.35">
      <c r="C52" s="26" t="str">
        <f ca="1">INDEX('Version control'!$H$38:$H$61,MATCH($A$1,'Version control'!$F$38:$F$61,0),1)&amp;"-D: Ratio of coincidence to load factor assuming units evenly spread within time bands, and peak falls in Red period"</f>
        <v>Section 105-D: Ratio of coincidence to load factor assuming units evenly spread within time bands, and peak falls in Red period</v>
      </c>
      <c r="D52" s="26"/>
      <c r="E52" s="26"/>
      <c r="F52" s="26"/>
      <c r="G52" s="26"/>
      <c r="H52" s="26"/>
      <c r="I52" s="26"/>
      <c r="J52" s="26"/>
      <c r="K52" s="26"/>
      <c r="L52" s="26"/>
      <c r="M52" s="26"/>
      <c r="N52" s="26"/>
      <c r="O52" s="26"/>
      <c r="P52" s="26"/>
      <c r="Q52" s="26"/>
      <c r="R52" s="26"/>
      <c r="S52" s="26"/>
      <c r="T52" s="26"/>
      <c r="U52" s="26"/>
      <c r="V52" s="26"/>
      <c r="W52" s="26"/>
      <c r="X52" s="26"/>
      <c r="Y52" s="26"/>
      <c r="Z52" s="26"/>
      <c r="AA52" s="26"/>
    </row>
    <row r="54" spans="2:27" x14ac:dyDescent="0.35">
      <c r="E54" t="s">
        <v>467</v>
      </c>
      <c r="G54" t="s">
        <v>283</v>
      </c>
      <c r="H54" s="79"/>
      <c r="I54" s="79"/>
      <c r="J54" s="79">
        <f t="shared" ref="J54:Y54" si="5">J48 * hours_in_year / J24</f>
        <v>1.4141364590413212</v>
      </c>
      <c r="K54" s="79">
        <f t="shared" si="5"/>
        <v>1.4141364590413212</v>
      </c>
      <c r="L54" s="79">
        <f t="shared" si="5"/>
        <v>1.0735233695278084</v>
      </c>
      <c r="M54" s="79">
        <f t="shared" si="5"/>
        <v>1.0735233695278084</v>
      </c>
      <c r="N54" s="79">
        <f t="shared" si="5"/>
        <v>1.1281233083585211</v>
      </c>
      <c r="O54" s="79">
        <f t="shared" si="5"/>
        <v>1.0754956818641297</v>
      </c>
      <c r="P54" s="79">
        <f t="shared" si="5"/>
        <v>1.066029509842537</v>
      </c>
      <c r="Q54" s="79">
        <f t="shared" si="5"/>
        <v>1.7189725409548682</v>
      </c>
      <c r="R54" s="79">
        <f t="shared" si="5"/>
        <v>1.0815829071158747</v>
      </c>
      <c r="S54" s="79">
        <f t="shared" si="5"/>
        <v>1.6947430512197168</v>
      </c>
      <c r="T54" s="79">
        <f t="shared" si="5"/>
        <v>0.99244845609452448</v>
      </c>
      <c r="U54" s="79">
        <f t="shared" si="5"/>
        <v>0</v>
      </c>
      <c r="V54" s="79">
        <f t="shared" si="5"/>
        <v>0</v>
      </c>
      <c r="W54" s="79">
        <f t="shared" si="5"/>
        <v>0</v>
      </c>
      <c r="X54" s="79">
        <f t="shared" si="5"/>
        <v>1.0787938979163245</v>
      </c>
      <c r="Y54" s="79">
        <f t="shared" si="5"/>
        <v>0</v>
      </c>
    </row>
    <row r="55" spans="2:27" x14ac:dyDescent="0.35">
      <c r="J55" s="53"/>
      <c r="K55" s="53"/>
      <c r="L55" s="53"/>
      <c r="M55" s="53"/>
      <c r="N55" s="53"/>
      <c r="O55" s="53"/>
      <c r="P55" s="53"/>
      <c r="Q55" s="53"/>
      <c r="R55" s="53"/>
      <c r="S55" s="53"/>
      <c r="T55" s="53"/>
      <c r="U55" s="53"/>
      <c r="V55" s="53"/>
      <c r="W55" s="53"/>
      <c r="X55" s="53"/>
      <c r="Y55" s="53"/>
    </row>
    <row r="56" spans="2:27" x14ac:dyDescent="0.35">
      <c r="B56" s="25" t="s">
        <v>468</v>
      </c>
      <c r="C56" s="95"/>
      <c r="D56" s="94"/>
      <c r="E56" s="94"/>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35">
      <c r="F57" s="23"/>
      <c r="G57" s="23"/>
    </row>
    <row r="58" spans="2:27" x14ac:dyDescent="0.35">
      <c r="C58" s="24" t="s">
        <v>469</v>
      </c>
      <c r="F58" s="23"/>
      <c r="G58" s="23"/>
    </row>
    <row r="59" spans="2:27" x14ac:dyDescent="0.35">
      <c r="F59" s="23"/>
      <c r="G59" s="23"/>
    </row>
    <row r="60" spans="2:27" x14ac:dyDescent="0.35">
      <c r="C60" s="26" t="str">
        <f ca="1">INDEX('Version control'!$H$38:$H$61,MATCH($A$1,'Version control'!$F$38:$F$61,0),1)&amp;"-E: Load characteristics for all customers"</f>
        <v>Section 105-E: Load characteristics for all customers</v>
      </c>
      <c r="D60" s="26"/>
      <c r="E60" s="26"/>
      <c r="F60" s="26"/>
      <c r="G60" s="26"/>
      <c r="H60" s="26"/>
      <c r="I60" s="26"/>
      <c r="J60" s="26"/>
      <c r="K60" s="26"/>
      <c r="L60" s="26"/>
      <c r="M60" s="26"/>
      <c r="N60" s="26"/>
      <c r="O60" s="26"/>
      <c r="P60" s="26"/>
      <c r="Q60" s="26"/>
      <c r="R60" s="26"/>
      <c r="S60" s="26"/>
      <c r="T60" s="26"/>
      <c r="U60" s="26"/>
      <c r="V60" s="26"/>
      <c r="W60" s="26"/>
      <c r="X60" s="26"/>
      <c r="Y60" s="26"/>
      <c r="Z60" s="26"/>
      <c r="AA60" s="26"/>
    </row>
    <row r="61" spans="2:27" x14ac:dyDescent="0.35">
      <c r="D61" s="27"/>
      <c r="J61" s="21"/>
      <c r="K61" s="21"/>
      <c r="L61" s="21"/>
      <c r="M61" s="21"/>
      <c r="N61" s="21"/>
      <c r="O61" s="21"/>
      <c r="P61" s="21"/>
      <c r="Q61" s="21"/>
      <c r="R61" s="21"/>
      <c r="S61" s="21"/>
      <c r="T61" s="21"/>
      <c r="U61" s="21"/>
      <c r="V61" s="21"/>
      <c r="W61" s="21"/>
      <c r="X61" s="21"/>
      <c r="Y61" s="21"/>
    </row>
    <row r="62" spans="2:27" x14ac:dyDescent="0.35">
      <c r="E62" s="23" t="s">
        <v>241</v>
      </c>
      <c r="G62" s="23" t="s">
        <v>167</v>
      </c>
      <c r="J62" s="21">
        <f>'Inputs by customer type'!J15</f>
        <v>0.43647581417465237</v>
      </c>
      <c r="K62" s="21">
        <f>'Inputs by customer type'!K15</f>
        <v>7.6307183224827949E-2</v>
      </c>
      <c r="L62" s="21">
        <f>'Inputs by customer type'!L15</f>
        <v>0.42111901595678969</v>
      </c>
      <c r="M62" s="21">
        <f>'Inputs by customer type'!M15</f>
        <v>0.19113264434928934</v>
      </c>
      <c r="N62" s="21">
        <f>'Inputs by customer type'!N15</f>
        <v>0.56341638897209079</v>
      </c>
      <c r="O62" s="21">
        <f>'Inputs by customer type'!O15</f>
        <v>0.70966488981913878</v>
      </c>
      <c r="P62" s="21">
        <f>'Inputs by customer type'!P15</f>
        <v>0.69905734888928583</v>
      </c>
      <c r="Q62" s="21">
        <f>'Inputs by customer type'!Q15</f>
        <v>0.46565619046428203</v>
      </c>
      <c r="R62" s="21">
        <f>'Inputs by customer type'!R15</f>
        <v>0</v>
      </c>
      <c r="S62" s="21">
        <f>'Inputs by customer type'!S15</f>
        <v>0</v>
      </c>
      <c r="T62" s="21">
        <f>'Inputs by customer type'!T15</f>
        <v>0</v>
      </c>
      <c r="U62" s="21">
        <f>'Inputs by customer type'!U15</f>
        <v>0</v>
      </c>
      <c r="V62" s="21">
        <f>'Inputs by customer type'!V15</f>
        <v>0</v>
      </c>
      <c r="W62" s="21">
        <f>'Inputs by customer type'!W15</f>
        <v>0</v>
      </c>
      <c r="X62" s="21">
        <f>'Inputs by customer type'!X15</f>
        <v>0</v>
      </c>
      <c r="Y62" s="21">
        <f>'Inputs by customer type'!Y15</f>
        <v>0</v>
      </c>
    </row>
    <row r="63" spans="2:27" x14ac:dyDescent="0.35">
      <c r="E63" s="23" t="s">
        <v>243</v>
      </c>
      <c r="G63" s="23" t="s">
        <v>167</v>
      </c>
      <c r="J63" s="21">
        <f>'Inputs by customer type'!J16</f>
        <v>0.90156780743005827</v>
      </c>
      <c r="K63" s="21">
        <f>'Inputs by customer type'!K16</f>
        <v>0</v>
      </c>
      <c r="L63" s="21">
        <f>'Inputs by customer type'!L16</f>
        <v>0.61580520164321884</v>
      </c>
      <c r="M63" s="21">
        <f>'Inputs by customer type'!M16</f>
        <v>0</v>
      </c>
      <c r="N63" s="21">
        <f>'Inputs by customer type'!N16</f>
        <v>0.75347189146639615</v>
      </c>
      <c r="O63" s="21">
        <f>'Inputs by customer type'!O16</f>
        <v>0.7692077455166958</v>
      </c>
      <c r="P63" s="21">
        <f>'Inputs by customer type'!P16</f>
        <v>0.77333774705813152</v>
      </c>
      <c r="Q63" s="21">
        <f>'Inputs by customer type'!Q16</f>
        <v>0.89382495322850986</v>
      </c>
      <c r="R63" s="21">
        <f>'Inputs by customer type'!R16</f>
        <v>0</v>
      </c>
      <c r="S63" s="21">
        <f>'Inputs by customer type'!S16</f>
        <v>0</v>
      </c>
      <c r="T63" s="21">
        <f>'Inputs by customer type'!T16</f>
        <v>0</v>
      </c>
      <c r="U63" s="21">
        <f>'Inputs by customer type'!U16</f>
        <v>0</v>
      </c>
      <c r="V63" s="21">
        <f>'Inputs by customer type'!V16</f>
        <v>0</v>
      </c>
      <c r="W63" s="21">
        <f>'Inputs by customer type'!W16</f>
        <v>0</v>
      </c>
      <c r="X63" s="21">
        <f>'Inputs by customer type'!X16</f>
        <v>0</v>
      </c>
      <c r="Y63" s="21">
        <f>'Inputs by customer type'!Y16</f>
        <v>0</v>
      </c>
    </row>
    <row r="64" spans="2:27" x14ac:dyDescent="0.35">
      <c r="F64" s="23"/>
      <c r="G64" s="23"/>
      <c r="J64" s="21"/>
      <c r="K64" s="21"/>
      <c r="L64" s="21"/>
      <c r="M64" s="21"/>
      <c r="N64" s="21"/>
      <c r="O64" s="21"/>
      <c r="P64" s="21"/>
      <c r="Q64" s="21"/>
      <c r="R64" s="21"/>
      <c r="S64" s="21"/>
      <c r="T64" s="21"/>
      <c r="U64" s="21"/>
      <c r="V64" s="21"/>
      <c r="W64" s="21"/>
      <c r="X64" s="21"/>
      <c r="Y64" s="21"/>
    </row>
    <row r="65" spans="3:27" x14ac:dyDescent="0.35">
      <c r="C65" s="26" t="str">
        <f ca="1">INDEX('Version control'!$H$38:$H$61,MATCH($A$1,'Version control'!$F$38:$F$61,0),1)&amp;"-F: Aggregated load characteristics for grouped customers"</f>
        <v>Section 105-F: Aggregated load characteristics for grouped customers</v>
      </c>
      <c r="D65" s="26"/>
      <c r="E65" s="26"/>
      <c r="F65" s="26"/>
      <c r="G65" s="26"/>
      <c r="H65" s="26"/>
      <c r="I65" s="26"/>
      <c r="J65" s="26"/>
      <c r="K65" s="26"/>
      <c r="L65" s="26"/>
      <c r="M65" s="26"/>
      <c r="N65" s="26"/>
      <c r="O65" s="26"/>
      <c r="P65" s="26"/>
      <c r="Q65" s="26"/>
      <c r="R65" s="26"/>
      <c r="S65" s="26"/>
      <c r="T65" s="26"/>
      <c r="U65" s="26"/>
      <c r="V65" s="26"/>
      <c r="W65" s="26"/>
      <c r="X65" s="26"/>
      <c r="Y65" s="26"/>
      <c r="Z65" s="26"/>
      <c r="AA65" s="26"/>
    </row>
    <row r="67" spans="3:27" x14ac:dyDescent="0.35">
      <c r="D67" s="27" t="s">
        <v>849</v>
      </c>
      <c r="E67" s="23"/>
      <c r="F67" s="23"/>
      <c r="G67" s="23"/>
    </row>
    <row r="68" spans="3:27" x14ac:dyDescent="0.35">
      <c r="D68" s="27"/>
      <c r="E68" s="23"/>
      <c r="F68" s="23"/>
      <c r="G68" s="23"/>
    </row>
    <row r="69" spans="3:27" x14ac:dyDescent="0.35">
      <c r="D69" s="27"/>
      <c r="E69" s="23" t="s">
        <v>850</v>
      </c>
      <c r="F69" s="23"/>
      <c r="G69" s="23" t="s">
        <v>172</v>
      </c>
      <c r="J69" s="79">
        <f t="shared" ref="J69:P69" si="6">J34 / hours_in_year</f>
        <v>1064.9533912941342</v>
      </c>
      <c r="K69" s="79">
        <f t="shared" si="6"/>
        <v>14.754718601595615</v>
      </c>
      <c r="L69" s="79">
        <f t="shared" si="6"/>
        <v>361.61152522321004</v>
      </c>
      <c r="M69" s="79">
        <f t="shared" si="6"/>
        <v>3.8937062213344134</v>
      </c>
      <c r="N69" s="79">
        <f t="shared" si="6"/>
        <v>574.6814003785795</v>
      </c>
      <c r="O69" s="79">
        <f t="shared" si="6"/>
        <v>35.653493003954239</v>
      </c>
      <c r="P69" s="79">
        <f t="shared" si="6"/>
        <v>457.28817889132108</v>
      </c>
      <c r="Q69" s="303"/>
      <c r="R69" s="303"/>
      <c r="S69" s="303"/>
      <c r="T69" s="303"/>
      <c r="U69" s="303"/>
      <c r="V69" s="303"/>
      <c r="W69" s="303"/>
      <c r="X69" s="303"/>
      <c r="Y69" s="303"/>
    </row>
    <row r="70" spans="3:27" x14ac:dyDescent="0.35">
      <c r="D70" s="27"/>
      <c r="E70" s="23"/>
      <c r="F70" s="23"/>
      <c r="G70" s="23"/>
    </row>
    <row r="71" spans="3:27" x14ac:dyDescent="0.35">
      <c r="D71" s="27"/>
      <c r="E71" s="23" t="s">
        <v>470</v>
      </c>
      <c r="F71" s="23"/>
      <c r="G71" s="23" t="s">
        <v>172</v>
      </c>
      <c r="J71" s="79">
        <f t="shared" ref="J71:P71" si="7">IF(J62 = 0, 0, J34 / (J62 * hours_in_year))</f>
        <v>2439.890955488318</v>
      </c>
      <c r="K71" s="79">
        <f t="shared" si="7"/>
        <v>193.35949746858032</v>
      </c>
      <c r="L71" s="79">
        <f t="shared" si="7"/>
        <v>858.69198853825776</v>
      </c>
      <c r="M71" s="79">
        <f t="shared" si="7"/>
        <v>20.371748816590319</v>
      </c>
      <c r="N71" s="79">
        <f t="shared" si="7"/>
        <v>1019.9941138152561</v>
      </c>
      <c r="O71" s="79">
        <f t="shared" si="7"/>
        <v>50.239899867444038</v>
      </c>
      <c r="P71" s="79">
        <f t="shared" si="7"/>
        <v>654.14973409248114</v>
      </c>
      <c r="Q71" s="303"/>
      <c r="R71" s="303"/>
      <c r="S71" s="303"/>
      <c r="T71" s="303"/>
      <c r="U71" s="303"/>
      <c r="V71" s="303"/>
      <c r="W71" s="303"/>
      <c r="X71" s="303"/>
      <c r="Y71" s="303"/>
    </row>
    <row r="72" spans="3:27" x14ac:dyDescent="0.35">
      <c r="D72" s="27"/>
      <c r="E72" s="23"/>
      <c r="F72" s="23"/>
      <c r="G72" s="23"/>
    </row>
    <row r="73" spans="3:27" x14ac:dyDescent="0.35">
      <c r="D73" s="27"/>
      <c r="E73" s="23" t="s">
        <v>851</v>
      </c>
      <c r="F73" s="23"/>
      <c r="G73" s="23" t="s">
        <v>172</v>
      </c>
      <c r="J73" s="79">
        <f>J71 * J63</f>
        <v>2199.7271391080326</v>
      </c>
      <c r="K73" s="79">
        <f t="shared" ref="K73:M73" si="8">K71 * K63</f>
        <v>0</v>
      </c>
      <c r="L73" s="79">
        <f t="shared" si="8"/>
        <v>528.78699315121833</v>
      </c>
      <c r="M73" s="79">
        <f t="shared" si="8"/>
        <v>0</v>
      </c>
      <c r="N73" s="79">
        <f t="shared" ref="N73:P73" si="9">N71 * N63</f>
        <v>768.53689422097159</v>
      </c>
      <c r="O73" s="79">
        <f t="shared" si="9"/>
        <v>38.644920112021175</v>
      </c>
      <c r="P73" s="79">
        <f t="shared" si="9"/>
        <v>505.87868160175515</v>
      </c>
      <c r="Q73" s="303"/>
      <c r="R73" s="303"/>
      <c r="S73" s="303"/>
      <c r="T73" s="303"/>
      <c r="U73" s="303"/>
      <c r="V73" s="303"/>
      <c r="W73" s="303"/>
      <c r="X73" s="303"/>
      <c r="Y73" s="303"/>
    </row>
    <row r="74" spans="3:27" x14ac:dyDescent="0.35">
      <c r="D74" s="27"/>
      <c r="E74" s="23"/>
      <c r="F74" s="23"/>
      <c r="G74" s="23"/>
    </row>
    <row r="75" spans="3:27" x14ac:dyDescent="0.35">
      <c r="D75" s="27" t="s">
        <v>852</v>
      </c>
      <c r="E75" s="23"/>
      <c r="F75" s="23"/>
      <c r="G75" s="23"/>
    </row>
    <row r="76" spans="3:27" x14ac:dyDescent="0.35">
      <c r="D76" s="27"/>
      <c r="E76" s="23"/>
      <c r="F76" s="23"/>
      <c r="G76" s="23"/>
    </row>
    <row r="77" spans="3:27" x14ac:dyDescent="0.35">
      <c r="D77" s="27"/>
      <c r="E77" s="23" t="s">
        <v>241</v>
      </c>
      <c r="F77" s="23"/>
      <c r="G77" s="23" t="s">
        <v>167</v>
      </c>
      <c r="J77" s="135">
        <f t="shared" ref="J77:P77" si="10">SUMIF($J$38:$Y$38, J$38, $J$69:$Y$69) / SUMIF($J$38:$Y$38, J$38, $J$71:$Y$71)</f>
        <v>0.41002864299645969</v>
      </c>
      <c r="K77" s="135">
        <f t="shared" si="10"/>
        <v>0.41002864299645969</v>
      </c>
      <c r="L77" s="135">
        <f t="shared" si="10"/>
        <v>0.41578922655184269</v>
      </c>
      <c r="M77" s="135">
        <f t="shared" si="10"/>
        <v>0.41578922655184269</v>
      </c>
      <c r="N77" s="135">
        <f t="shared" si="10"/>
        <v>0.5634163889720909</v>
      </c>
      <c r="O77" s="135">
        <f t="shared" si="10"/>
        <v>0.70966488981913878</v>
      </c>
      <c r="P77" s="135">
        <f t="shared" si="10"/>
        <v>0.69905734888928572</v>
      </c>
      <c r="Q77" s="303"/>
      <c r="R77" s="303"/>
      <c r="S77" s="303"/>
      <c r="T77" s="303"/>
      <c r="U77" s="303"/>
      <c r="V77" s="303"/>
      <c r="W77" s="303"/>
      <c r="X77" s="303"/>
      <c r="Y77" s="303"/>
    </row>
    <row r="78" spans="3:27" x14ac:dyDescent="0.35">
      <c r="D78" s="27"/>
      <c r="E78" s="23"/>
      <c r="F78" s="23"/>
      <c r="G78" s="23"/>
    </row>
    <row r="79" spans="3:27" x14ac:dyDescent="0.35">
      <c r="D79" s="27"/>
      <c r="E79" s="23" t="s">
        <v>243</v>
      </c>
      <c r="F79" s="23"/>
      <c r="G79" s="23" t="s">
        <v>167</v>
      </c>
      <c r="J79" s="135">
        <f t="shared" ref="J79:P79" si="11">SUMIF($J$38:$Y$38, J$38, $J$73:$Y$73) / SUMIF($J$38:$Y$38, J$38, $J$71:$Y$71)</f>
        <v>0.83536571184785757</v>
      </c>
      <c r="K79" s="135">
        <f t="shared" si="11"/>
        <v>0.83536571184785757</v>
      </c>
      <c r="L79" s="135">
        <f t="shared" si="11"/>
        <v>0.60153430369266281</v>
      </c>
      <c r="M79" s="135">
        <f t="shared" si="11"/>
        <v>0.60153430369266281</v>
      </c>
      <c r="N79" s="135">
        <f t="shared" si="11"/>
        <v>0.75347189146639615</v>
      </c>
      <c r="O79" s="135">
        <f t="shared" si="11"/>
        <v>0.76920774551669591</v>
      </c>
      <c r="P79" s="135">
        <f t="shared" si="11"/>
        <v>0.77333774705813152</v>
      </c>
      <c r="Q79" s="303"/>
      <c r="R79" s="303"/>
      <c r="S79" s="303"/>
      <c r="T79" s="303"/>
      <c r="U79" s="303"/>
      <c r="V79" s="303"/>
      <c r="W79" s="303"/>
      <c r="X79" s="303"/>
      <c r="Y79" s="303"/>
    </row>
    <row r="80" spans="3:27" x14ac:dyDescent="0.35">
      <c r="D80" s="27"/>
      <c r="E80" s="23"/>
      <c r="F80" s="23"/>
      <c r="G80" s="23"/>
    </row>
    <row r="81" spans="2:27" x14ac:dyDescent="0.35">
      <c r="D81" s="27" t="s">
        <v>853</v>
      </c>
      <c r="E81" s="23"/>
      <c r="F81" s="23"/>
      <c r="G81" s="23"/>
    </row>
    <row r="82" spans="2:27" x14ac:dyDescent="0.35">
      <c r="D82" s="23"/>
      <c r="E82" s="23"/>
      <c r="F82" s="23"/>
      <c r="G82" s="23"/>
    </row>
    <row r="83" spans="2:27" x14ac:dyDescent="0.35">
      <c r="D83" s="23"/>
      <c r="E83" s="23" t="s">
        <v>241</v>
      </c>
      <c r="F83" s="23"/>
      <c r="G83" s="23" t="s">
        <v>167</v>
      </c>
      <c r="J83" s="135">
        <f>IF(J$38 = 0, J62, J77)</f>
        <v>0.41002864299645969</v>
      </c>
      <c r="K83" s="135">
        <f t="shared" ref="K83:Y83" si="12">IF(K$38 = 0, K62, K77)</f>
        <v>0.41002864299645969</v>
      </c>
      <c r="L83" s="135">
        <f t="shared" si="12"/>
        <v>0.41578922655184269</v>
      </c>
      <c r="M83" s="135">
        <f>IF(M$38 = 0, M62, M77)</f>
        <v>0.41578922655184269</v>
      </c>
      <c r="N83" s="135">
        <f t="shared" si="12"/>
        <v>0.5634163889720909</v>
      </c>
      <c r="O83" s="135">
        <f t="shared" si="12"/>
        <v>0.70966488981913878</v>
      </c>
      <c r="P83" s="135">
        <f t="shared" si="12"/>
        <v>0.69905734888928572</v>
      </c>
      <c r="Q83" s="135">
        <f t="shared" si="12"/>
        <v>0.46565619046428203</v>
      </c>
      <c r="R83" s="135">
        <f t="shared" si="12"/>
        <v>0</v>
      </c>
      <c r="S83" s="135">
        <f t="shared" si="12"/>
        <v>0</v>
      </c>
      <c r="T83" s="135">
        <f t="shared" si="12"/>
        <v>0</v>
      </c>
      <c r="U83" s="135">
        <f t="shared" si="12"/>
        <v>0</v>
      </c>
      <c r="V83" s="135">
        <f t="shared" si="12"/>
        <v>0</v>
      </c>
      <c r="W83" s="135">
        <f t="shared" si="12"/>
        <v>0</v>
      </c>
      <c r="X83" s="135">
        <f t="shared" si="12"/>
        <v>0</v>
      </c>
      <c r="Y83" s="135">
        <f t="shared" si="12"/>
        <v>0</v>
      </c>
    </row>
    <row r="84" spans="2:27" x14ac:dyDescent="0.35">
      <c r="D84" s="23"/>
      <c r="E84" s="23"/>
      <c r="F84" s="23"/>
      <c r="G84" s="23"/>
    </row>
    <row r="85" spans="2:27" x14ac:dyDescent="0.35">
      <c r="D85" s="23"/>
      <c r="E85" s="23" t="s">
        <v>243</v>
      </c>
      <c r="F85" s="23"/>
      <c r="G85" s="23" t="s">
        <v>167</v>
      </c>
      <c r="J85" s="135">
        <f>IF(J38 = 0, J63, J79)</f>
        <v>0.83536571184785757</v>
      </c>
      <c r="K85" s="135">
        <f t="shared" ref="K85:Y85" si="13">IF(K38 = 0, K63, K79)</f>
        <v>0.83536571184785757</v>
      </c>
      <c r="L85" s="135">
        <f t="shared" si="13"/>
        <v>0.60153430369266281</v>
      </c>
      <c r="M85" s="135">
        <f t="shared" si="13"/>
        <v>0.60153430369266281</v>
      </c>
      <c r="N85" s="135">
        <f t="shared" si="13"/>
        <v>0.75347189146639615</v>
      </c>
      <c r="O85" s="135">
        <f t="shared" si="13"/>
        <v>0.76920774551669591</v>
      </c>
      <c r="P85" s="135">
        <f t="shared" si="13"/>
        <v>0.77333774705813152</v>
      </c>
      <c r="Q85" s="135">
        <f t="shared" si="13"/>
        <v>0.89382495322850986</v>
      </c>
      <c r="R85" s="135">
        <f t="shared" si="13"/>
        <v>0</v>
      </c>
      <c r="S85" s="135">
        <f t="shared" si="13"/>
        <v>0</v>
      </c>
      <c r="T85" s="135">
        <f t="shared" si="13"/>
        <v>0</v>
      </c>
      <c r="U85" s="135">
        <f t="shared" si="13"/>
        <v>0</v>
      </c>
      <c r="V85" s="135">
        <f t="shared" si="13"/>
        <v>0</v>
      </c>
      <c r="W85" s="135">
        <f t="shared" si="13"/>
        <v>0</v>
      </c>
      <c r="X85" s="135">
        <f t="shared" si="13"/>
        <v>0</v>
      </c>
      <c r="Y85" s="135">
        <f t="shared" si="13"/>
        <v>0</v>
      </c>
    </row>
    <row r="87" spans="2:27" x14ac:dyDescent="0.35">
      <c r="C87" s="26" t="str">
        <f ca="1">INDEX('Version control'!$H$38:$H$61,MATCH($A$1,'Version control'!$F$38:$F$61,0),1)&amp;"-G: Calculation of correction factor"</f>
        <v>Section 105-G: Calculation of correction factor</v>
      </c>
      <c r="D87" s="26"/>
      <c r="E87" s="26"/>
      <c r="F87" s="26"/>
      <c r="G87" s="26"/>
      <c r="H87" s="26"/>
      <c r="I87" s="26"/>
      <c r="J87" s="26"/>
      <c r="K87" s="26"/>
      <c r="L87" s="26"/>
      <c r="M87" s="26"/>
      <c r="N87" s="26"/>
      <c r="O87" s="26"/>
      <c r="P87" s="26"/>
      <c r="Q87" s="26"/>
      <c r="R87" s="26"/>
      <c r="S87" s="26"/>
      <c r="T87" s="26"/>
      <c r="U87" s="26"/>
      <c r="V87" s="26"/>
      <c r="W87" s="26"/>
      <c r="X87" s="26"/>
      <c r="Y87" s="26"/>
      <c r="Z87" s="26"/>
      <c r="AA87" s="26"/>
    </row>
    <row r="89" spans="2:27" x14ac:dyDescent="0.35">
      <c r="E89" s="23" t="s">
        <v>471</v>
      </c>
      <c r="G89" s="23" t="s">
        <v>283</v>
      </c>
      <c r="J89" s="79">
        <f t="shared" ref="J89:Y89" si="14">IF(AND(J62 = 0, J63 = 0), 1, J63 / J62)</f>
        <v>2.0655618894597056</v>
      </c>
      <c r="K89" s="79">
        <f t="shared" si="14"/>
        <v>0</v>
      </c>
      <c r="L89" s="79">
        <f t="shared" si="14"/>
        <v>1.4623068023753303</v>
      </c>
      <c r="M89" s="79">
        <f t="shared" si="14"/>
        <v>0</v>
      </c>
      <c r="N89" s="79">
        <f t="shared" si="14"/>
        <v>1.3373268975030115</v>
      </c>
      <c r="O89" s="79">
        <f t="shared" si="14"/>
        <v>1.0839027779896675</v>
      </c>
      <c r="P89" s="79">
        <f t="shared" si="14"/>
        <v>1.1062579461997901</v>
      </c>
      <c r="Q89" s="79">
        <f t="shared" si="14"/>
        <v>1.919495480855355</v>
      </c>
      <c r="R89" s="79">
        <f t="shared" si="14"/>
        <v>1</v>
      </c>
      <c r="S89" s="79">
        <f t="shared" si="14"/>
        <v>1</v>
      </c>
      <c r="T89" s="79">
        <f t="shared" si="14"/>
        <v>1</v>
      </c>
      <c r="U89" s="79">
        <f t="shared" si="14"/>
        <v>1</v>
      </c>
      <c r="V89" s="79">
        <f t="shared" si="14"/>
        <v>1</v>
      </c>
      <c r="W89" s="79">
        <f t="shared" si="14"/>
        <v>1</v>
      </c>
      <c r="X89" s="79">
        <f t="shared" si="14"/>
        <v>1</v>
      </c>
      <c r="Y89" s="79">
        <f t="shared" si="14"/>
        <v>1</v>
      </c>
    </row>
    <row r="90" spans="2:27" x14ac:dyDescent="0.35">
      <c r="D90" s="27"/>
      <c r="J90" s="110"/>
      <c r="K90" s="110"/>
      <c r="L90" s="110"/>
      <c r="M90" s="110"/>
      <c r="N90" s="110"/>
      <c r="O90" s="110"/>
      <c r="P90" s="110"/>
      <c r="Q90" s="110"/>
      <c r="R90" s="110"/>
      <c r="S90" s="110"/>
      <c r="T90" s="110"/>
      <c r="U90" s="110"/>
      <c r="V90" s="110"/>
      <c r="W90" s="110"/>
      <c r="X90" s="110"/>
      <c r="Y90" s="110"/>
    </row>
    <row r="91" spans="2:27" x14ac:dyDescent="0.35">
      <c r="E91" s="23" t="s">
        <v>854</v>
      </c>
      <c r="G91" s="23" t="s">
        <v>283</v>
      </c>
      <c r="I91" t="s">
        <v>154</v>
      </c>
      <c r="J91" s="79">
        <f>IF(AND(J83 = 0, J85 = 0), 1, J85 / J83)</f>
        <v>2.0373350157761303</v>
      </c>
      <c r="K91" s="79">
        <f t="shared" ref="K91:Y91" si="15">IF(AND(K83 = 0, K85 = 0), 1, K85 / K83)</f>
        <v>2.0373350157761303</v>
      </c>
      <c r="L91" s="79">
        <f t="shared" si="15"/>
        <v>1.4467289320630352</v>
      </c>
      <c r="M91" s="79">
        <f t="shared" si="15"/>
        <v>1.4467289320630352</v>
      </c>
      <c r="N91" s="79">
        <f>IF(AND(N83 = 0, N85 = 0), 1, N85 / N83)</f>
        <v>1.3373268975030113</v>
      </c>
      <c r="O91" s="79">
        <f t="shared" si="15"/>
        <v>1.0839027779896677</v>
      </c>
      <c r="P91" s="79">
        <f t="shared" si="15"/>
        <v>1.1062579461997903</v>
      </c>
      <c r="Q91" s="79">
        <f t="shared" si="15"/>
        <v>1.919495480855355</v>
      </c>
      <c r="R91" s="79">
        <f t="shared" si="15"/>
        <v>1</v>
      </c>
      <c r="S91" s="79">
        <f t="shared" si="15"/>
        <v>1</v>
      </c>
      <c r="T91" s="79">
        <f t="shared" si="15"/>
        <v>1</v>
      </c>
      <c r="U91" s="79">
        <f t="shared" si="15"/>
        <v>1</v>
      </c>
      <c r="V91" s="79">
        <f t="shared" si="15"/>
        <v>1</v>
      </c>
      <c r="W91" s="79">
        <f t="shared" si="15"/>
        <v>1</v>
      </c>
      <c r="X91" s="79">
        <f t="shared" si="15"/>
        <v>1</v>
      </c>
      <c r="Y91" s="79">
        <f t="shared" si="15"/>
        <v>1</v>
      </c>
      <c r="Z91" s="79"/>
      <c r="AA91" t="s">
        <v>858</v>
      </c>
    </row>
    <row r="92" spans="2:27" x14ac:dyDescent="0.35">
      <c r="D92" s="27"/>
      <c r="J92" s="110"/>
      <c r="K92" s="110"/>
      <c r="L92" s="110"/>
      <c r="M92" s="110"/>
      <c r="N92" s="110"/>
      <c r="O92" s="110"/>
      <c r="P92" s="110"/>
      <c r="Q92" s="110"/>
      <c r="R92" s="110"/>
      <c r="S92" s="110"/>
      <c r="T92" s="110"/>
      <c r="U92" s="110"/>
      <c r="V92" s="110"/>
      <c r="W92" s="110"/>
      <c r="X92" s="110"/>
      <c r="Y92" s="110"/>
    </row>
    <row r="93" spans="2:27" x14ac:dyDescent="0.35">
      <c r="E93" s="23" t="s">
        <v>472</v>
      </c>
      <c r="G93" s="23" t="s">
        <v>283</v>
      </c>
      <c r="I93" t="s">
        <v>154</v>
      </c>
      <c r="J93" s="79">
        <f>IF(OR(J54 = 0, J85 = 0), 1, J91 / J54)</f>
        <v>1.4406919521453334</v>
      </c>
      <c r="K93" s="79">
        <f t="shared" ref="K93:Y93" si="16">IF(OR(K54 = 0, K85 = 0), 1, K91 / K54)</f>
        <v>1.4406919521453334</v>
      </c>
      <c r="L93" s="79">
        <f t="shared" si="16"/>
        <v>1.347645494386752</v>
      </c>
      <c r="M93" s="79">
        <f t="shared" si="16"/>
        <v>1.347645494386752</v>
      </c>
      <c r="N93" s="79">
        <f>IF(OR(N54 = 0, N85 = 0), 1, N91 / N54)</f>
        <v>1.1854439028025157</v>
      </c>
      <c r="O93" s="79">
        <f t="shared" si="16"/>
        <v>1.0078169501442964</v>
      </c>
      <c r="P93" s="79">
        <f t="shared" si="16"/>
        <v>1.0377367005189149</v>
      </c>
      <c r="Q93" s="79">
        <f t="shared" si="16"/>
        <v>1.1166527882924173</v>
      </c>
      <c r="R93" s="79">
        <f t="shared" si="16"/>
        <v>1</v>
      </c>
      <c r="S93" s="79">
        <f t="shared" si="16"/>
        <v>1</v>
      </c>
      <c r="T93" s="79">
        <f t="shared" si="16"/>
        <v>1</v>
      </c>
      <c r="U93" s="79">
        <f t="shared" si="16"/>
        <v>1</v>
      </c>
      <c r="V93" s="79">
        <f t="shared" si="16"/>
        <v>1</v>
      </c>
      <c r="W93" s="79">
        <f t="shared" si="16"/>
        <v>1</v>
      </c>
      <c r="X93" s="79">
        <f t="shared" si="16"/>
        <v>1</v>
      </c>
      <c r="Y93" s="79">
        <f t="shared" si="16"/>
        <v>1</v>
      </c>
      <c r="AA93" t="s">
        <v>473</v>
      </c>
    </row>
    <row r="94" spans="2:27" x14ac:dyDescent="0.35">
      <c r="F94" s="23"/>
      <c r="G94" s="23"/>
    </row>
    <row r="95" spans="2:27" x14ac:dyDescent="0.35">
      <c r="B95" s="25" t="s">
        <v>474</v>
      </c>
      <c r="C95" s="95"/>
      <c r="D95" s="94"/>
      <c r="E95" s="94"/>
      <c r="F95" s="95"/>
      <c r="G95" s="95"/>
      <c r="H95" s="95"/>
      <c r="I95" s="95"/>
      <c r="J95" s="95"/>
      <c r="K95" s="95"/>
      <c r="L95" s="95"/>
      <c r="M95" s="95"/>
      <c r="N95" s="95"/>
      <c r="O95" s="95"/>
      <c r="P95" s="95"/>
      <c r="Q95" s="95"/>
      <c r="R95" s="95"/>
      <c r="S95" s="95"/>
      <c r="T95" s="95"/>
      <c r="U95" s="95"/>
      <c r="V95" s="95"/>
      <c r="W95" s="95"/>
      <c r="X95" s="95"/>
      <c r="Y95" s="95"/>
      <c r="Z95" s="95"/>
      <c r="AA95" s="95"/>
    </row>
    <row r="97" spans="3:27" x14ac:dyDescent="0.35">
      <c r="C97" s="24" t="s">
        <v>476</v>
      </c>
      <c r="I97" t="s">
        <v>154</v>
      </c>
      <c r="AA97" t="s">
        <v>475</v>
      </c>
    </row>
    <row r="98" spans="3:27" x14ac:dyDescent="0.35">
      <c r="C98" s="24" t="s">
        <v>477</v>
      </c>
    </row>
    <row r="100" spans="3:27" x14ac:dyDescent="0.35">
      <c r="C100" s="26" t="str">
        <f ca="1">INDEX('Version control'!$H$38:$H$61,MATCH($A$1,'Version control'!$F$38:$F$61,0),1)&amp;"-H: Peaking probabilities, by network level"</f>
        <v>Section 105-H: Peaking probabilities, by network level</v>
      </c>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row>
    <row r="102" spans="3:27" x14ac:dyDescent="0.35">
      <c r="E102" s="27" t="s">
        <v>478</v>
      </c>
      <c r="G102" s="23"/>
    </row>
    <row r="103" spans="3:27" x14ac:dyDescent="0.35">
      <c r="F103" s="68" t="s">
        <v>294</v>
      </c>
      <c r="G103" s="54" t="s">
        <v>167</v>
      </c>
      <c r="H103" s="97">
        <f>'Inputs by network level'!K40</f>
        <v>0.87869195331374528</v>
      </c>
    </row>
    <row r="104" spans="3:27" x14ac:dyDescent="0.35">
      <c r="F104" s="62" t="s">
        <v>295</v>
      </c>
      <c r="G104" s="23" t="s">
        <v>167</v>
      </c>
      <c r="H104" s="21">
        <f>'Inputs by network level'!K41</f>
        <v>0.12130804668625478</v>
      </c>
    </row>
    <row r="105" spans="3:27" x14ac:dyDescent="0.35">
      <c r="F105" s="70" t="s">
        <v>257</v>
      </c>
      <c r="G105" s="57" t="s">
        <v>167</v>
      </c>
      <c r="H105" s="131">
        <f>'Inputs by network level'!K42</f>
        <v>0</v>
      </c>
    </row>
    <row r="106" spans="3:27" x14ac:dyDescent="0.35">
      <c r="F106" s="68" t="s">
        <v>296</v>
      </c>
      <c r="G106" s="54" t="s">
        <v>167</v>
      </c>
      <c r="H106" s="97">
        <f>'Inputs by network level'!K43</f>
        <v>0.72201893599480138</v>
      </c>
    </row>
    <row r="107" spans="3:27" x14ac:dyDescent="0.35">
      <c r="F107" s="62" t="s">
        <v>305</v>
      </c>
      <c r="G107" s="23" t="s">
        <v>167</v>
      </c>
      <c r="H107" s="146">
        <f>SUM(H103:H104) - H106</f>
        <v>0.27798106400519862</v>
      </c>
    </row>
    <row r="108" spans="3:27" x14ac:dyDescent="0.35">
      <c r="F108" s="70" t="s">
        <v>257</v>
      </c>
      <c r="G108" s="57" t="s">
        <v>167</v>
      </c>
      <c r="H108" s="147">
        <f>H105</f>
        <v>0</v>
      </c>
    </row>
    <row r="109" spans="3:27" x14ac:dyDescent="0.35">
      <c r="F109" s="24"/>
      <c r="G109" s="23"/>
    </row>
    <row r="110" spans="3:27" x14ac:dyDescent="0.35">
      <c r="E110" s="27" t="s">
        <v>479</v>
      </c>
      <c r="G110" s="23"/>
    </row>
    <row r="111" spans="3:27" x14ac:dyDescent="0.35">
      <c r="F111" s="68" t="s">
        <v>464</v>
      </c>
      <c r="G111" s="54" t="s">
        <v>167</v>
      </c>
      <c r="H111" s="97">
        <f>'Inputs by network level'!L40</f>
        <v>0.74360448555639025</v>
      </c>
    </row>
    <row r="112" spans="3:27" x14ac:dyDescent="0.35">
      <c r="F112" s="62" t="s">
        <v>465</v>
      </c>
      <c r="G112" s="23" t="s">
        <v>167</v>
      </c>
      <c r="H112" s="21">
        <f>'Inputs by network level'!L41</f>
        <v>0.24717781803086289</v>
      </c>
    </row>
    <row r="113" spans="5:8" x14ac:dyDescent="0.35">
      <c r="F113" s="70" t="s">
        <v>257</v>
      </c>
      <c r="G113" s="57" t="s">
        <v>167</v>
      </c>
      <c r="H113" s="131">
        <f>'Inputs by network level'!L42</f>
        <v>9.2176964127468185E-3</v>
      </c>
    </row>
    <row r="114" spans="5:8" x14ac:dyDescent="0.35">
      <c r="F114" s="68" t="s">
        <v>296</v>
      </c>
      <c r="G114" s="54" t="s">
        <v>167</v>
      </c>
      <c r="H114" s="97">
        <f>'Inputs by network level'!L43</f>
        <v>0.69960500694159566</v>
      </c>
    </row>
    <row r="115" spans="5:8" x14ac:dyDescent="0.35">
      <c r="F115" s="62" t="s">
        <v>305</v>
      </c>
      <c r="G115" s="23" t="s">
        <v>167</v>
      </c>
      <c r="H115" s="146">
        <f>SUM(H111:H112) - H114</f>
        <v>0.2911772966456575</v>
      </c>
    </row>
    <row r="116" spans="5:8" x14ac:dyDescent="0.35">
      <c r="F116" s="70" t="s">
        <v>257</v>
      </c>
      <c r="G116" s="57" t="s">
        <v>167</v>
      </c>
      <c r="H116" s="147">
        <f>H113</f>
        <v>9.2176964127468185E-3</v>
      </c>
    </row>
    <row r="117" spans="5:8" x14ac:dyDescent="0.35">
      <c r="F117" s="24"/>
      <c r="G117" s="23"/>
    </row>
    <row r="118" spans="5:8" x14ac:dyDescent="0.35">
      <c r="E118" s="27" t="s">
        <v>480</v>
      </c>
      <c r="G118" s="23"/>
    </row>
    <row r="119" spans="5:8" x14ac:dyDescent="0.35">
      <c r="F119" s="68" t="s">
        <v>464</v>
      </c>
      <c r="G119" s="54" t="s">
        <v>167</v>
      </c>
      <c r="H119" s="97">
        <f>'Inputs by network level'!M40</f>
        <v>0.74360448555639025</v>
      </c>
    </row>
    <row r="120" spans="5:8" x14ac:dyDescent="0.35">
      <c r="F120" s="62" t="s">
        <v>465</v>
      </c>
      <c r="G120" s="23" t="s">
        <v>167</v>
      </c>
      <c r="H120" s="21">
        <f>'Inputs by network level'!M41</f>
        <v>0.24717781803086289</v>
      </c>
    </row>
    <row r="121" spans="5:8" x14ac:dyDescent="0.35">
      <c r="F121" s="70" t="s">
        <v>257</v>
      </c>
      <c r="G121" s="57" t="s">
        <v>167</v>
      </c>
      <c r="H121" s="131">
        <f>'Inputs by network level'!M42</f>
        <v>9.2176964127468185E-3</v>
      </c>
    </row>
    <row r="122" spans="5:8" x14ac:dyDescent="0.35">
      <c r="F122" s="68" t="s">
        <v>296</v>
      </c>
      <c r="G122" s="54" t="s">
        <v>167</v>
      </c>
      <c r="H122" s="97">
        <f>'Inputs by network level'!M43</f>
        <v>0.69960500694159566</v>
      </c>
    </row>
    <row r="123" spans="5:8" x14ac:dyDescent="0.35">
      <c r="F123" s="62" t="s">
        <v>305</v>
      </c>
      <c r="G123" s="23" t="s">
        <v>167</v>
      </c>
      <c r="H123" s="146">
        <f>SUM(H119:H120) - H122</f>
        <v>0.2911772966456575</v>
      </c>
    </row>
    <row r="124" spans="5:8" x14ac:dyDescent="0.35">
      <c r="F124" s="70" t="s">
        <v>257</v>
      </c>
      <c r="G124" s="57" t="s">
        <v>167</v>
      </c>
      <c r="H124" s="147">
        <f>H121</f>
        <v>9.2176964127468185E-3</v>
      </c>
    </row>
    <row r="125" spans="5:8" x14ac:dyDescent="0.35">
      <c r="F125" s="24"/>
      <c r="G125" s="23"/>
    </row>
    <row r="126" spans="5:8" x14ac:dyDescent="0.35">
      <c r="E126" s="27" t="s">
        <v>481</v>
      </c>
      <c r="G126" s="23"/>
    </row>
    <row r="127" spans="5:8" x14ac:dyDescent="0.35">
      <c r="F127" s="68" t="s">
        <v>464</v>
      </c>
      <c r="G127" s="54" t="s">
        <v>167</v>
      </c>
      <c r="H127" s="97">
        <f>'Inputs by network level'!N40</f>
        <v>0.62012775890469907</v>
      </c>
    </row>
    <row r="128" spans="5:8" x14ac:dyDescent="0.35">
      <c r="F128" s="62" t="s">
        <v>465</v>
      </c>
      <c r="G128" s="23" t="s">
        <v>167</v>
      </c>
      <c r="H128" s="21">
        <f>'Inputs by network level'!N41</f>
        <v>0.3658018413361534</v>
      </c>
    </row>
    <row r="129" spans="5:8" x14ac:dyDescent="0.35">
      <c r="F129" s="70" t="s">
        <v>257</v>
      </c>
      <c r="G129" s="57" t="s">
        <v>167</v>
      </c>
      <c r="H129" s="131">
        <f>'Inputs by network level'!N42</f>
        <v>1.4070399759147598E-2</v>
      </c>
    </row>
    <row r="130" spans="5:8" x14ac:dyDescent="0.35">
      <c r="F130" s="68" t="s">
        <v>296</v>
      </c>
      <c r="G130" s="54" t="s">
        <v>167</v>
      </c>
      <c r="H130" s="97">
        <f>'Inputs by network level'!N43</f>
        <v>0.58233445141271956</v>
      </c>
    </row>
    <row r="131" spans="5:8" x14ac:dyDescent="0.35">
      <c r="F131" s="62" t="s">
        <v>305</v>
      </c>
      <c r="G131" s="23" t="s">
        <v>167</v>
      </c>
      <c r="H131" s="146">
        <f>SUM(H127:H128) - H130</f>
        <v>0.40359514882813285</v>
      </c>
    </row>
    <row r="132" spans="5:8" x14ac:dyDescent="0.35">
      <c r="F132" s="70" t="s">
        <v>257</v>
      </c>
      <c r="G132" s="57" t="s">
        <v>167</v>
      </c>
      <c r="H132" s="147">
        <f>H129</f>
        <v>1.4070399759147598E-2</v>
      </c>
    </row>
    <row r="133" spans="5:8" x14ac:dyDescent="0.35">
      <c r="F133" s="24"/>
      <c r="G133" s="23"/>
    </row>
    <row r="134" spans="5:8" x14ac:dyDescent="0.35">
      <c r="E134" s="27" t="s">
        <v>482</v>
      </c>
      <c r="G134" s="23"/>
    </row>
    <row r="135" spans="5:8" x14ac:dyDescent="0.35">
      <c r="F135" s="68" t="s">
        <v>464</v>
      </c>
      <c r="G135" s="54" t="s">
        <v>167</v>
      </c>
      <c r="H135" s="97">
        <f>'Inputs by network level'!O40</f>
        <v>0.62012775890469907</v>
      </c>
    </row>
    <row r="136" spans="5:8" x14ac:dyDescent="0.35">
      <c r="F136" s="62" t="s">
        <v>465</v>
      </c>
      <c r="G136" s="23" t="s">
        <v>167</v>
      </c>
      <c r="H136" s="21">
        <f>'Inputs by network level'!O41</f>
        <v>0.3658018413361534</v>
      </c>
    </row>
    <row r="137" spans="5:8" x14ac:dyDescent="0.35">
      <c r="F137" s="70" t="s">
        <v>257</v>
      </c>
      <c r="G137" s="57" t="s">
        <v>167</v>
      </c>
      <c r="H137" s="131">
        <f>'Inputs by network level'!O42</f>
        <v>1.4070399759147598E-2</v>
      </c>
    </row>
    <row r="138" spans="5:8" x14ac:dyDescent="0.35">
      <c r="F138" s="68" t="s">
        <v>296</v>
      </c>
      <c r="G138" s="54" t="s">
        <v>167</v>
      </c>
      <c r="H138" s="97">
        <f>'Inputs by network level'!O43</f>
        <v>0.58233445141271956</v>
      </c>
    </row>
    <row r="139" spans="5:8" x14ac:dyDescent="0.35">
      <c r="F139" s="62" t="s">
        <v>305</v>
      </c>
      <c r="G139" s="23" t="s">
        <v>167</v>
      </c>
      <c r="H139" s="146">
        <f>SUM(H135:H136) - H138</f>
        <v>0.40359514882813285</v>
      </c>
    </row>
    <row r="140" spans="5:8" x14ac:dyDescent="0.35">
      <c r="F140" s="70" t="s">
        <v>257</v>
      </c>
      <c r="G140" s="57" t="s">
        <v>167</v>
      </c>
      <c r="H140" s="147">
        <f>H137</f>
        <v>1.4070399759147598E-2</v>
      </c>
    </row>
    <row r="141" spans="5:8" x14ac:dyDescent="0.35">
      <c r="F141" s="24"/>
      <c r="G141" s="23"/>
    </row>
    <row r="142" spans="5:8" x14ac:dyDescent="0.35">
      <c r="E142" s="27" t="s">
        <v>483</v>
      </c>
      <c r="G142" s="23"/>
    </row>
    <row r="143" spans="5:8" x14ac:dyDescent="0.35">
      <c r="F143" s="68" t="s">
        <v>464</v>
      </c>
      <c r="G143" s="54" t="s">
        <v>167</v>
      </c>
      <c r="H143" s="97">
        <f>'Inputs by network level'!P40</f>
        <v>0</v>
      </c>
    </row>
    <row r="144" spans="5:8" x14ac:dyDescent="0.35">
      <c r="F144" s="62" t="s">
        <v>465</v>
      </c>
      <c r="G144" s="23" t="s">
        <v>167</v>
      </c>
      <c r="H144" s="21">
        <f>'Inputs by network level'!P41</f>
        <v>0</v>
      </c>
    </row>
    <row r="145" spans="5:8" x14ac:dyDescent="0.35">
      <c r="F145" s="70" t="s">
        <v>257</v>
      </c>
      <c r="G145" s="57" t="s">
        <v>167</v>
      </c>
      <c r="H145" s="131">
        <f>'Inputs by network level'!P42</f>
        <v>0</v>
      </c>
    </row>
    <row r="146" spans="5:8" x14ac:dyDescent="0.35">
      <c r="F146" s="68" t="s">
        <v>296</v>
      </c>
      <c r="G146" s="54" t="s">
        <v>167</v>
      </c>
      <c r="H146" s="97">
        <f>'Inputs by network level'!P43</f>
        <v>0</v>
      </c>
    </row>
    <row r="147" spans="5:8" x14ac:dyDescent="0.35">
      <c r="F147" s="62" t="s">
        <v>305</v>
      </c>
      <c r="G147" s="23" t="s">
        <v>167</v>
      </c>
      <c r="H147" s="146">
        <f>SUM(H143:H144) - H146</f>
        <v>0</v>
      </c>
    </row>
    <row r="148" spans="5:8" x14ac:dyDescent="0.35">
      <c r="F148" s="70" t="s">
        <v>257</v>
      </c>
      <c r="G148" s="57" t="s">
        <v>167</v>
      </c>
      <c r="H148" s="147">
        <f>H145</f>
        <v>0</v>
      </c>
    </row>
    <row r="149" spans="5:8" x14ac:dyDescent="0.35">
      <c r="F149" s="24"/>
      <c r="G149" s="23"/>
    </row>
    <row r="150" spans="5:8" x14ac:dyDescent="0.35">
      <c r="E150" s="27" t="s">
        <v>484</v>
      </c>
      <c r="G150" s="23"/>
    </row>
    <row r="151" spans="5:8" x14ac:dyDescent="0.35">
      <c r="F151" s="68" t="s">
        <v>464</v>
      </c>
      <c r="G151" s="54" t="s">
        <v>167</v>
      </c>
      <c r="H151" s="97">
        <f>'Inputs by network level'!Q40</f>
        <v>0.39082112842901467</v>
      </c>
    </row>
    <row r="152" spans="5:8" x14ac:dyDescent="0.35">
      <c r="F152" s="62" t="s">
        <v>465</v>
      </c>
      <c r="G152" s="23" t="s">
        <v>167</v>
      </c>
      <c r="H152" s="21">
        <f>'Inputs by network level'!Q41</f>
        <v>0.58480041563597007</v>
      </c>
    </row>
    <row r="153" spans="5:8" x14ac:dyDescent="0.35">
      <c r="F153" s="70" t="s">
        <v>257</v>
      </c>
      <c r="G153" s="57" t="s">
        <v>167</v>
      </c>
      <c r="H153" s="131">
        <f>'Inputs by network level'!Q42</f>
        <v>2.4378455935015281E-2</v>
      </c>
    </row>
    <row r="154" spans="5:8" x14ac:dyDescent="0.35">
      <c r="F154" s="68" t="s">
        <v>296</v>
      </c>
      <c r="G154" s="54" t="s">
        <v>167</v>
      </c>
      <c r="H154" s="97">
        <f>'Inputs by network level'!Q43</f>
        <v>0.35138266357062015</v>
      </c>
    </row>
    <row r="155" spans="5:8" x14ac:dyDescent="0.35">
      <c r="F155" s="62" t="s">
        <v>305</v>
      </c>
      <c r="G155" s="23" t="s">
        <v>167</v>
      </c>
      <c r="H155" s="146">
        <f>SUM(H151:H152) - H154</f>
        <v>0.6242388804943646</v>
      </c>
    </row>
    <row r="156" spans="5:8" x14ac:dyDescent="0.35">
      <c r="F156" s="70" t="s">
        <v>257</v>
      </c>
      <c r="G156" s="57" t="s">
        <v>167</v>
      </c>
      <c r="H156" s="147">
        <f>H153</f>
        <v>2.4378455935015281E-2</v>
      </c>
    </row>
    <row r="157" spans="5:8" x14ac:dyDescent="0.35">
      <c r="F157" s="24"/>
      <c r="G157" s="23"/>
    </row>
    <row r="158" spans="5:8" x14ac:dyDescent="0.35">
      <c r="E158" s="27" t="s">
        <v>485</v>
      </c>
      <c r="G158" s="23"/>
    </row>
    <row r="159" spans="5:8" x14ac:dyDescent="0.35">
      <c r="F159" s="68" t="s">
        <v>464</v>
      </c>
      <c r="G159" s="54" t="s">
        <v>167</v>
      </c>
      <c r="H159" s="97">
        <f>'Inputs by network level'!R40</f>
        <v>0.39082112842901467</v>
      </c>
    </row>
    <row r="160" spans="5:8" x14ac:dyDescent="0.35">
      <c r="F160" s="62" t="s">
        <v>465</v>
      </c>
      <c r="G160" s="23" t="s">
        <v>167</v>
      </c>
      <c r="H160" s="21">
        <f>'Inputs by network level'!R41</f>
        <v>0.58480041563597007</v>
      </c>
    </row>
    <row r="161" spans="3:27" x14ac:dyDescent="0.35">
      <c r="F161" s="70" t="s">
        <v>257</v>
      </c>
      <c r="G161" s="57" t="s">
        <v>167</v>
      </c>
      <c r="H161" s="131">
        <f>'Inputs by network level'!R42</f>
        <v>2.4378455935015281E-2</v>
      </c>
    </row>
    <row r="162" spans="3:27" x14ac:dyDescent="0.35">
      <c r="F162" s="68" t="s">
        <v>296</v>
      </c>
      <c r="G162" s="54" t="s">
        <v>167</v>
      </c>
      <c r="H162" s="97">
        <f>'Inputs by network level'!R43</f>
        <v>0.35138266357062015</v>
      </c>
    </row>
    <row r="163" spans="3:27" x14ac:dyDescent="0.35">
      <c r="F163" s="62" t="s">
        <v>305</v>
      </c>
      <c r="G163" s="23" t="s">
        <v>167</v>
      </c>
      <c r="H163" s="146">
        <f>SUM(H159:H160) - H162</f>
        <v>0.6242388804943646</v>
      </c>
    </row>
    <row r="164" spans="3:27" x14ac:dyDescent="0.35">
      <c r="F164" s="70" t="s">
        <v>257</v>
      </c>
      <c r="G164" s="57" t="s">
        <v>167</v>
      </c>
      <c r="H164" s="147">
        <f>H161</f>
        <v>2.4378455935015281E-2</v>
      </c>
    </row>
    <row r="165" spans="3:27" x14ac:dyDescent="0.35">
      <c r="F165" s="24"/>
      <c r="G165" s="23"/>
    </row>
    <row r="166" spans="3:27" x14ac:dyDescent="0.35">
      <c r="E166" s="27" t="s">
        <v>486</v>
      </c>
      <c r="G166" s="23"/>
    </row>
    <row r="167" spans="3:27" x14ac:dyDescent="0.35">
      <c r="F167" s="68" t="s">
        <v>464</v>
      </c>
      <c r="G167" s="54" t="s">
        <v>167</v>
      </c>
      <c r="H167" s="97">
        <f>'Inputs by network level'!S40</f>
        <v>0.39082112842901467</v>
      </c>
    </row>
    <row r="168" spans="3:27" x14ac:dyDescent="0.35">
      <c r="F168" s="62" t="s">
        <v>465</v>
      </c>
      <c r="G168" s="23" t="s">
        <v>167</v>
      </c>
      <c r="H168" s="21">
        <f>'Inputs by network level'!S41</f>
        <v>0.58480041563597007</v>
      </c>
    </row>
    <row r="169" spans="3:27" x14ac:dyDescent="0.35">
      <c r="F169" s="70" t="s">
        <v>257</v>
      </c>
      <c r="G169" s="57" t="s">
        <v>167</v>
      </c>
      <c r="H169" s="131">
        <f>'Inputs by network level'!S42</f>
        <v>2.4378455935015281E-2</v>
      </c>
    </row>
    <row r="170" spans="3:27" x14ac:dyDescent="0.35">
      <c r="F170" s="68" t="s">
        <v>296</v>
      </c>
      <c r="G170" s="54" t="s">
        <v>167</v>
      </c>
      <c r="H170" s="97">
        <f>'Inputs by network level'!S43</f>
        <v>0.35138266357062015</v>
      </c>
    </row>
    <row r="171" spans="3:27" x14ac:dyDescent="0.35">
      <c r="F171" s="62" t="s">
        <v>305</v>
      </c>
      <c r="G171" s="23" t="s">
        <v>167</v>
      </c>
      <c r="H171" s="146">
        <f>SUM(H167:H168) - H170</f>
        <v>0.6242388804943646</v>
      </c>
    </row>
    <row r="172" spans="3:27" x14ac:dyDescent="0.35">
      <c r="F172" s="70" t="s">
        <v>257</v>
      </c>
      <c r="G172" s="57" t="s">
        <v>167</v>
      </c>
      <c r="H172" s="147">
        <f>H169</f>
        <v>2.4378455935015281E-2</v>
      </c>
    </row>
    <row r="173" spans="3:27" x14ac:dyDescent="0.35">
      <c r="E173" s="24"/>
      <c r="F173" s="23"/>
      <c r="G173" s="23"/>
    </row>
    <row r="174" spans="3:27" x14ac:dyDescent="0.35">
      <c r="C174" s="26" t="str">
        <f ca="1">INDEX('Version control'!$H$38:$H$61,MATCH($A$1,'Version control'!$F$38:$F$61,0),1)&amp;"-I: Peaking probabilities, by network level and customer type"</f>
        <v>Section 105-I: Peaking probabilities, by network level and customer type</v>
      </c>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row>
    <row r="176" spans="3:27" x14ac:dyDescent="0.35">
      <c r="E176" s="27" t="s">
        <v>478</v>
      </c>
      <c r="G176" s="23"/>
    </row>
    <row r="177" spans="5:25" x14ac:dyDescent="0.35">
      <c r="E177" s="24"/>
      <c r="F177" s="68" t="s">
        <v>464</v>
      </c>
      <c r="G177" s="54" t="s">
        <v>167</v>
      </c>
      <c r="H177" s="97"/>
      <c r="I177" s="19"/>
      <c r="J177" s="144">
        <f t="shared" ref="J177:K177" si="17">IF(J$20, $H106, $H103)</f>
        <v>0.87869195331374528</v>
      </c>
      <c r="K177" s="144">
        <f t="shared" si="17"/>
        <v>0.87869195331374528</v>
      </c>
      <c r="L177" s="144">
        <f t="shared" ref="L177:M177" si="18">IF(L$20, $H106, $H103)</f>
        <v>0.87869195331374528</v>
      </c>
      <c r="M177" s="144">
        <f t="shared" si="18"/>
        <v>0.87869195331374528</v>
      </c>
      <c r="N177" s="144">
        <f t="shared" ref="N177:P177" si="19">IF(N$20, $H106, $H103)</f>
        <v>0.87869195331374528</v>
      </c>
      <c r="O177" s="144">
        <f t="shared" si="19"/>
        <v>0.87869195331374528</v>
      </c>
      <c r="P177" s="144">
        <f t="shared" si="19"/>
        <v>0.87869195331374528</v>
      </c>
      <c r="Q177" s="144">
        <f t="shared" ref="Q177:S177" si="20">IF(Q$20, $H106, $H103)</f>
        <v>0.72201893599480138</v>
      </c>
      <c r="R177" s="144">
        <f t="shared" si="20"/>
        <v>0.87869195331374528</v>
      </c>
      <c r="S177" s="144">
        <f t="shared" si="20"/>
        <v>0.87869195331374528</v>
      </c>
      <c r="T177" s="144">
        <f t="shared" ref="T177:U177" si="21">IF(T$20, $H106, $H103)</f>
        <v>0.87869195331374528</v>
      </c>
      <c r="U177" s="144">
        <f t="shared" si="21"/>
        <v>0.87869195331374528</v>
      </c>
      <c r="V177" s="144">
        <f t="shared" ref="V177:W177" si="22">IF(V$20, $H106, $H103)</f>
        <v>0.87869195331374528</v>
      </c>
      <c r="W177" s="144">
        <f t="shared" si="22"/>
        <v>0.87869195331374528</v>
      </c>
      <c r="X177" s="144">
        <f t="shared" ref="X177:Y177" si="23">IF(X$20, $H106, $H103)</f>
        <v>0.87869195331374528</v>
      </c>
      <c r="Y177" s="144">
        <f t="shared" si="23"/>
        <v>0.87869195331374528</v>
      </c>
    </row>
    <row r="178" spans="5:25" x14ac:dyDescent="0.35">
      <c r="E178" s="24"/>
      <c r="F178" s="62" t="s">
        <v>465</v>
      </c>
      <c r="G178" s="23" t="s">
        <v>167</v>
      </c>
      <c r="H178" s="21"/>
      <c r="J178" s="135">
        <f t="shared" ref="J178:K178" si="24">IF(J$20, $H107, $H104)</f>
        <v>0.12130804668625478</v>
      </c>
      <c r="K178" s="135">
        <f t="shared" si="24"/>
        <v>0.12130804668625478</v>
      </c>
      <c r="L178" s="135">
        <f t="shared" ref="L178:M178" si="25">IF(L$20, $H107, $H104)</f>
        <v>0.12130804668625478</v>
      </c>
      <c r="M178" s="135">
        <f t="shared" si="25"/>
        <v>0.12130804668625478</v>
      </c>
      <c r="N178" s="135">
        <f t="shared" ref="N178:P178" si="26">IF(N$20, $H107, $H104)</f>
        <v>0.12130804668625478</v>
      </c>
      <c r="O178" s="135">
        <f t="shared" si="26"/>
        <v>0.12130804668625478</v>
      </c>
      <c r="P178" s="135">
        <f t="shared" si="26"/>
        <v>0.12130804668625478</v>
      </c>
      <c r="Q178" s="135">
        <f t="shared" ref="Q178:S178" si="27">IF(Q$20, $H107, $H104)</f>
        <v>0.27798106400519862</v>
      </c>
      <c r="R178" s="135">
        <f t="shared" si="27"/>
        <v>0.12130804668625478</v>
      </c>
      <c r="S178" s="135">
        <f t="shared" si="27"/>
        <v>0.12130804668625478</v>
      </c>
      <c r="T178" s="135">
        <f t="shared" ref="T178:U178" si="28">IF(T$20, $H107, $H104)</f>
        <v>0.12130804668625478</v>
      </c>
      <c r="U178" s="135">
        <f t="shared" si="28"/>
        <v>0.12130804668625478</v>
      </c>
      <c r="V178" s="135">
        <f t="shared" ref="V178:W178" si="29">IF(V$20, $H107, $H104)</f>
        <v>0.12130804668625478</v>
      </c>
      <c r="W178" s="135">
        <f t="shared" si="29"/>
        <v>0.12130804668625478</v>
      </c>
      <c r="X178" s="135">
        <f t="shared" ref="X178:Y178" si="30">IF(X$20, $H107, $H104)</f>
        <v>0.12130804668625478</v>
      </c>
      <c r="Y178" s="135">
        <f t="shared" si="30"/>
        <v>0.12130804668625478</v>
      </c>
    </row>
    <row r="179" spans="5:25" x14ac:dyDescent="0.35">
      <c r="E179" s="24"/>
      <c r="F179" s="70" t="s">
        <v>257</v>
      </c>
      <c r="G179" s="57" t="s">
        <v>167</v>
      </c>
      <c r="H179" s="131"/>
      <c r="I179" s="28"/>
      <c r="J179" s="145">
        <f t="shared" ref="J179:K179" si="31">IF(J$20, $H108, $H105)</f>
        <v>0</v>
      </c>
      <c r="K179" s="145">
        <f t="shared" si="31"/>
        <v>0</v>
      </c>
      <c r="L179" s="145">
        <f t="shared" ref="L179:M179" si="32">IF(L$20, $H108, $H105)</f>
        <v>0</v>
      </c>
      <c r="M179" s="145">
        <f t="shared" si="32"/>
        <v>0</v>
      </c>
      <c r="N179" s="145">
        <f t="shared" ref="N179:P179" si="33">IF(N$20, $H108, $H105)</f>
        <v>0</v>
      </c>
      <c r="O179" s="145">
        <f t="shared" si="33"/>
        <v>0</v>
      </c>
      <c r="P179" s="145">
        <f t="shared" si="33"/>
        <v>0</v>
      </c>
      <c r="Q179" s="145">
        <f t="shared" ref="Q179:S179" si="34">IF(Q$20, $H108, $H105)</f>
        <v>0</v>
      </c>
      <c r="R179" s="145">
        <f t="shared" si="34"/>
        <v>0</v>
      </c>
      <c r="S179" s="145">
        <f t="shared" si="34"/>
        <v>0</v>
      </c>
      <c r="T179" s="145">
        <f t="shared" ref="T179:U179" si="35">IF(T$20, $H108, $H105)</f>
        <v>0</v>
      </c>
      <c r="U179" s="145">
        <f t="shared" si="35"/>
        <v>0</v>
      </c>
      <c r="V179" s="145">
        <f t="shared" ref="V179:W179" si="36">IF(V$20, $H108, $H105)</f>
        <v>0</v>
      </c>
      <c r="W179" s="145">
        <f t="shared" si="36"/>
        <v>0</v>
      </c>
      <c r="X179" s="145">
        <f t="shared" ref="X179:Y179" si="37">IF(X$20, $H108, $H105)</f>
        <v>0</v>
      </c>
      <c r="Y179" s="145">
        <f t="shared" si="37"/>
        <v>0</v>
      </c>
    </row>
    <row r="180" spans="5:25" x14ac:dyDescent="0.35">
      <c r="E180" s="24"/>
      <c r="F180" s="62"/>
      <c r="G180" s="23"/>
      <c r="H180" s="21"/>
      <c r="J180" s="135"/>
      <c r="K180" s="135"/>
      <c r="L180" s="135"/>
      <c r="M180" s="135"/>
      <c r="N180" s="135"/>
      <c r="O180" s="135"/>
      <c r="P180" s="135"/>
      <c r="Q180" s="135"/>
      <c r="R180" s="135"/>
      <c r="S180" s="135"/>
      <c r="T180" s="135"/>
      <c r="U180" s="135"/>
      <c r="V180" s="135"/>
      <c r="W180" s="135"/>
      <c r="X180" s="135"/>
      <c r="Y180" s="135"/>
    </row>
    <row r="181" spans="5:25" x14ac:dyDescent="0.35">
      <c r="E181" s="27" t="s">
        <v>479</v>
      </c>
      <c r="G181" s="23"/>
    </row>
    <row r="182" spans="5:25" x14ac:dyDescent="0.35">
      <c r="E182" s="24"/>
      <c r="F182" s="68" t="s">
        <v>464</v>
      </c>
      <c r="G182" s="54" t="s">
        <v>167</v>
      </c>
      <c r="H182" s="97"/>
      <c r="I182" s="19"/>
      <c r="J182" s="144">
        <f t="shared" ref="J182:K182" si="38">IF(J$20, $H114, $H111)</f>
        <v>0.74360448555639025</v>
      </c>
      <c r="K182" s="144">
        <f t="shared" si="38"/>
        <v>0.74360448555639025</v>
      </c>
      <c r="L182" s="144">
        <f t="shared" ref="L182:M182" si="39">IF(L$20, $H114, $H111)</f>
        <v>0.74360448555639025</v>
      </c>
      <c r="M182" s="144">
        <f t="shared" si="39"/>
        <v>0.74360448555639025</v>
      </c>
      <c r="N182" s="144">
        <f t="shared" ref="N182:P182" si="40">IF(N$20, $H114, $H111)</f>
        <v>0.74360448555639025</v>
      </c>
      <c r="O182" s="144">
        <f t="shared" si="40"/>
        <v>0.74360448555639025</v>
      </c>
      <c r="P182" s="144">
        <f t="shared" si="40"/>
        <v>0.74360448555639025</v>
      </c>
      <c r="Q182" s="144">
        <f t="shared" ref="Q182:S182" si="41">IF(Q$20, $H114, $H111)</f>
        <v>0.69960500694159566</v>
      </c>
      <c r="R182" s="144">
        <f t="shared" si="41"/>
        <v>0.74360448555639025</v>
      </c>
      <c r="S182" s="144">
        <f t="shared" si="41"/>
        <v>0.74360448555639025</v>
      </c>
      <c r="T182" s="144">
        <f t="shared" ref="T182:U182" si="42">IF(T$20, $H114, $H111)</f>
        <v>0.74360448555639025</v>
      </c>
      <c r="U182" s="144">
        <f t="shared" si="42"/>
        <v>0.74360448555639025</v>
      </c>
      <c r="V182" s="144">
        <f t="shared" ref="V182:W182" si="43">IF(V$20, $H114, $H111)</f>
        <v>0.74360448555639025</v>
      </c>
      <c r="W182" s="144">
        <f t="shared" si="43"/>
        <v>0.74360448555639025</v>
      </c>
      <c r="X182" s="144">
        <f t="shared" ref="X182:Y182" si="44">IF(X$20, $H114, $H111)</f>
        <v>0.74360448555639025</v>
      </c>
      <c r="Y182" s="144">
        <f t="shared" si="44"/>
        <v>0.74360448555639025</v>
      </c>
    </row>
    <row r="183" spans="5:25" x14ac:dyDescent="0.35">
      <c r="E183" s="24"/>
      <c r="F183" s="62" t="s">
        <v>465</v>
      </c>
      <c r="G183" s="23" t="s">
        <v>167</v>
      </c>
      <c r="H183" s="21"/>
      <c r="J183" s="135">
        <f t="shared" ref="J183:K183" si="45">IF(J$20, $H115, $H112)</f>
        <v>0.24717781803086289</v>
      </c>
      <c r="K183" s="135">
        <f t="shared" si="45"/>
        <v>0.24717781803086289</v>
      </c>
      <c r="L183" s="135">
        <f t="shared" ref="L183:M183" si="46">IF(L$20, $H115, $H112)</f>
        <v>0.24717781803086289</v>
      </c>
      <c r="M183" s="135">
        <f t="shared" si="46"/>
        <v>0.24717781803086289</v>
      </c>
      <c r="N183" s="135">
        <f t="shared" ref="N183:P183" si="47">IF(N$20, $H115, $H112)</f>
        <v>0.24717781803086289</v>
      </c>
      <c r="O183" s="135">
        <f t="shared" si="47"/>
        <v>0.24717781803086289</v>
      </c>
      <c r="P183" s="135">
        <f t="shared" si="47"/>
        <v>0.24717781803086289</v>
      </c>
      <c r="Q183" s="135">
        <f t="shared" ref="Q183:S183" si="48">IF(Q$20, $H115, $H112)</f>
        <v>0.2911772966456575</v>
      </c>
      <c r="R183" s="135">
        <f t="shared" si="48"/>
        <v>0.24717781803086289</v>
      </c>
      <c r="S183" s="135">
        <f t="shared" si="48"/>
        <v>0.24717781803086289</v>
      </c>
      <c r="T183" s="135">
        <f t="shared" ref="T183:U183" si="49">IF(T$20, $H115, $H112)</f>
        <v>0.24717781803086289</v>
      </c>
      <c r="U183" s="135">
        <f t="shared" si="49"/>
        <v>0.24717781803086289</v>
      </c>
      <c r="V183" s="135">
        <f t="shared" ref="V183:W183" si="50">IF(V$20, $H115, $H112)</f>
        <v>0.24717781803086289</v>
      </c>
      <c r="W183" s="135">
        <f t="shared" si="50"/>
        <v>0.24717781803086289</v>
      </c>
      <c r="X183" s="135">
        <f t="shared" ref="X183:Y183" si="51">IF(X$20, $H115, $H112)</f>
        <v>0.24717781803086289</v>
      </c>
      <c r="Y183" s="135">
        <f t="shared" si="51"/>
        <v>0.24717781803086289</v>
      </c>
    </row>
    <row r="184" spans="5:25" x14ac:dyDescent="0.35">
      <c r="E184" s="24"/>
      <c r="F184" s="70" t="s">
        <v>257</v>
      </c>
      <c r="G184" s="57" t="s">
        <v>167</v>
      </c>
      <c r="H184" s="131"/>
      <c r="I184" s="28"/>
      <c r="J184" s="145">
        <f t="shared" ref="J184:K184" si="52">IF(J$20, $H116, $H113)</f>
        <v>9.2176964127468185E-3</v>
      </c>
      <c r="K184" s="145">
        <f t="shared" si="52"/>
        <v>9.2176964127468185E-3</v>
      </c>
      <c r="L184" s="145">
        <f t="shared" ref="L184:M184" si="53">IF(L$20, $H116, $H113)</f>
        <v>9.2176964127468185E-3</v>
      </c>
      <c r="M184" s="145">
        <f t="shared" si="53"/>
        <v>9.2176964127468185E-3</v>
      </c>
      <c r="N184" s="145">
        <f t="shared" ref="N184:P184" si="54">IF(N$20, $H116, $H113)</f>
        <v>9.2176964127468185E-3</v>
      </c>
      <c r="O184" s="145">
        <f t="shared" si="54"/>
        <v>9.2176964127468185E-3</v>
      </c>
      <c r="P184" s="145">
        <f t="shared" si="54"/>
        <v>9.2176964127468185E-3</v>
      </c>
      <c r="Q184" s="145">
        <f t="shared" ref="Q184:S184" si="55">IF(Q$20, $H116, $H113)</f>
        <v>9.2176964127468185E-3</v>
      </c>
      <c r="R184" s="145">
        <f t="shared" si="55"/>
        <v>9.2176964127468185E-3</v>
      </c>
      <c r="S184" s="145">
        <f t="shared" si="55"/>
        <v>9.2176964127468185E-3</v>
      </c>
      <c r="T184" s="145">
        <f t="shared" ref="T184:U184" si="56">IF(T$20, $H116, $H113)</f>
        <v>9.2176964127468185E-3</v>
      </c>
      <c r="U184" s="145">
        <f t="shared" si="56"/>
        <v>9.2176964127468185E-3</v>
      </c>
      <c r="V184" s="145">
        <f t="shared" ref="V184:W184" si="57">IF(V$20, $H116, $H113)</f>
        <v>9.2176964127468185E-3</v>
      </c>
      <c r="W184" s="145">
        <f t="shared" si="57"/>
        <v>9.2176964127468185E-3</v>
      </c>
      <c r="X184" s="145">
        <f t="shared" ref="X184:Y184" si="58">IF(X$20, $H116, $H113)</f>
        <v>9.2176964127468185E-3</v>
      </c>
      <c r="Y184" s="145">
        <f t="shared" si="58"/>
        <v>9.2176964127468185E-3</v>
      </c>
    </row>
    <row r="185" spans="5:25" x14ac:dyDescent="0.35">
      <c r="E185" s="24"/>
      <c r="F185" s="62"/>
      <c r="G185" s="23"/>
      <c r="H185" s="21"/>
      <c r="J185" s="135"/>
      <c r="K185" s="135"/>
      <c r="L185" s="135"/>
      <c r="M185" s="135"/>
      <c r="N185" s="135"/>
      <c r="O185" s="135"/>
      <c r="P185" s="135"/>
      <c r="Q185" s="135"/>
      <c r="R185" s="135"/>
      <c r="S185" s="135"/>
      <c r="T185" s="135"/>
      <c r="U185" s="135"/>
      <c r="V185" s="135"/>
      <c r="W185" s="135"/>
      <c r="X185" s="135"/>
      <c r="Y185" s="135"/>
    </row>
    <row r="186" spans="5:25" x14ac:dyDescent="0.35">
      <c r="E186" s="27" t="s">
        <v>480</v>
      </c>
      <c r="G186" s="23"/>
    </row>
    <row r="187" spans="5:25" x14ac:dyDescent="0.35">
      <c r="E187" s="24"/>
      <c r="F187" s="68" t="s">
        <v>464</v>
      </c>
      <c r="G187" s="54" t="s">
        <v>167</v>
      </c>
      <c r="H187" s="97"/>
      <c r="I187" s="19"/>
      <c r="J187" s="144">
        <f t="shared" ref="J187:K187" si="59">IF(J$20, $H122, $H119)</f>
        <v>0.74360448555639025</v>
      </c>
      <c r="K187" s="144">
        <f t="shared" si="59"/>
        <v>0.74360448555639025</v>
      </c>
      <c r="L187" s="144">
        <f t="shared" ref="L187:M187" si="60">IF(L$20, $H122, $H119)</f>
        <v>0.74360448555639025</v>
      </c>
      <c r="M187" s="144">
        <f t="shared" si="60"/>
        <v>0.74360448555639025</v>
      </c>
      <c r="N187" s="144">
        <f t="shared" ref="N187:P187" si="61">IF(N$20, $H122, $H119)</f>
        <v>0.74360448555639025</v>
      </c>
      <c r="O187" s="144">
        <f t="shared" si="61"/>
        <v>0.74360448555639025</v>
      </c>
      <c r="P187" s="144">
        <f t="shared" si="61"/>
        <v>0.74360448555639025</v>
      </c>
      <c r="Q187" s="144">
        <f t="shared" ref="Q187:S187" si="62">IF(Q$20, $H122, $H119)</f>
        <v>0.69960500694159566</v>
      </c>
      <c r="R187" s="144">
        <f t="shared" si="62"/>
        <v>0.74360448555639025</v>
      </c>
      <c r="S187" s="144">
        <f t="shared" si="62"/>
        <v>0.74360448555639025</v>
      </c>
      <c r="T187" s="144">
        <f t="shared" ref="T187:U187" si="63">IF(T$20, $H122, $H119)</f>
        <v>0.74360448555639025</v>
      </c>
      <c r="U187" s="144">
        <f t="shared" si="63"/>
        <v>0.74360448555639025</v>
      </c>
      <c r="V187" s="144">
        <f t="shared" ref="V187:W187" si="64">IF(V$20, $H122, $H119)</f>
        <v>0.74360448555639025</v>
      </c>
      <c r="W187" s="144">
        <f t="shared" si="64"/>
        <v>0.74360448555639025</v>
      </c>
      <c r="X187" s="144">
        <f t="shared" ref="X187:Y187" si="65">IF(X$20, $H122, $H119)</f>
        <v>0.74360448555639025</v>
      </c>
      <c r="Y187" s="144">
        <f t="shared" si="65"/>
        <v>0.74360448555639025</v>
      </c>
    </row>
    <row r="188" spans="5:25" x14ac:dyDescent="0.35">
      <c r="E188" s="24"/>
      <c r="F188" s="62" t="s">
        <v>465</v>
      </c>
      <c r="G188" s="23" t="s">
        <v>167</v>
      </c>
      <c r="H188" s="21"/>
      <c r="J188" s="135">
        <f t="shared" ref="J188:K188" si="66">IF(J$20, $H123, $H120)</f>
        <v>0.24717781803086289</v>
      </c>
      <c r="K188" s="135">
        <f t="shared" si="66"/>
        <v>0.24717781803086289</v>
      </c>
      <c r="L188" s="135">
        <f t="shared" ref="L188:M188" si="67">IF(L$20, $H123, $H120)</f>
        <v>0.24717781803086289</v>
      </c>
      <c r="M188" s="135">
        <f t="shared" si="67"/>
        <v>0.24717781803086289</v>
      </c>
      <c r="N188" s="135">
        <f t="shared" ref="N188:P188" si="68">IF(N$20, $H123, $H120)</f>
        <v>0.24717781803086289</v>
      </c>
      <c r="O188" s="135">
        <f t="shared" si="68"/>
        <v>0.24717781803086289</v>
      </c>
      <c r="P188" s="135">
        <f t="shared" si="68"/>
        <v>0.24717781803086289</v>
      </c>
      <c r="Q188" s="135">
        <f t="shared" ref="Q188:S188" si="69">IF(Q$20, $H123, $H120)</f>
        <v>0.2911772966456575</v>
      </c>
      <c r="R188" s="135">
        <f t="shared" si="69"/>
        <v>0.24717781803086289</v>
      </c>
      <c r="S188" s="135">
        <f t="shared" si="69"/>
        <v>0.24717781803086289</v>
      </c>
      <c r="T188" s="135">
        <f t="shared" ref="T188:U188" si="70">IF(T$20, $H123, $H120)</f>
        <v>0.24717781803086289</v>
      </c>
      <c r="U188" s="135">
        <f t="shared" si="70"/>
        <v>0.24717781803086289</v>
      </c>
      <c r="V188" s="135">
        <f t="shared" ref="V188:W188" si="71">IF(V$20, $H123, $H120)</f>
        <v>0.24717781803086289</v>
      </c>
      <c r="W188" s="135">
        <f t="shared" si="71"/>
        <v>0.24717781803086289</v>
      </c>
      <c r="X188" s="135">
        <f t="shared" ref="X188:Y188" si="72">IF(X$20, $H123, $H120)</f>
        <v>0.24717781803086289</v>
      </c>
      <c r="Y188" s="135">
        <f t="shared" si="72"/>
        <v>0.24717781803086289</v>
      </c>
    </row>
    <row r="189" spans="5:25" x14ac:dyDescent="0.35">
      <c r="E189" s="24"/>
      <c r="F189" s="70" t="s">
        <v>257</v>
      </c>
      <c r="G189" s="57" t="s">
        <v>167</v>
      </c>
      <c r="H189" s="131"/>
      <c r="I189" s="28"/>
      <c r="J189" s="145">
        <f t="shared" ref="J189:K189" si="73">IF(J$20, $H124, $H121)</f>
        <v>9.2176964127468185E-3</v>
      </c>
      <c r="K189" s="145">
        <f t="shared" si="73"/>
        <v>9.2176964127468185E-3</v>
      </c>
      <c r="L189" s="145">
        <f t="shared" ref="L189:M189" si="74">IF(L$20, $H124, $H121)</f>
        <v>9.2176964127468185E-3</v>
      </c>
      <c r="M189" s="145">
        <f t="shared" si="74"/>
        <v>9.2176964127468185E-3</v>
      </c>
      <c r="N189" s="145">
        <f t="shared" ref="N189:P189" si="75">IF(N$20, $H124, $H121)</f>
        <v>9.2176964127468185E-3</v>
      </c>
      <c r="O189" s="145">
        <f t="shared" si="75"/>
        <v>9.2176964127468185E-3</v>
      </c>
      <c r="P189" s="145">
        <f t="shared" si="75"/>
        <v>9.2176964127468185E-3</v>
      </c>
      <c r="Q189" s="145">
        <f t="shared" ref="Q189:S189" si="76">IF(Q$20, $H124, $H121)</f>
        <v>9.2176964127468185E-3</v>
      </c>
      <c r="R189" s="145">
        <f t="shared" si="76"/>
        <v>9.2176964127468185E-3</v>
      </c>
      <c r="S189" s="145">
        <f t="shared" si="76"/>
        <v>9.2176964127468185E-3</v>
      </c>
      <c r="T189" s="145">
        <f t="shared" ref="T189:U189" si="77">IF(T$20, $H124, $H121)</f>
        <v>9.2176964127468185E-3</v>
      </c>
      <c r="U189" s="145">
        <f t="shared" si="77"/>
        <v>9.2176964127468185E-3</v>
      </c>
      <c r="V189" s="145">
        <f t="shared" ref="V189:W189" si="78">IF(V$20, $H124, $H121)</f>
        <v>9.2176964127468185E-3</v>
      </c>
      <c r="W189" s="145">
        <f t="shared" si="78"/>
        <v>9.2176964127468185E-3</v>
      </c>
      <c r="X189" s="145">
        <f t="shared" ref="X189:Y189" si="79">IF(X$20, $H124, $H121)</f>
        <v>9.2176964127468185E-3</v>
      </c>
      <c r="Y189" s="145">
        <f t="shared" si="79"/>
        <v>9.2176964127468185E-3</v>
      </c>
    </row>
    <row r="190" spans="5:25" x14ac:dyDescent="0.35">
      <c r="E190" s="24"/>
      <c r="F190" s="62"/>
      <c r="G190" s="23"/>
      <c r="H190" s="21"/>
      <c r="J190" s="135"/>
      <c r="K190" s="135"/>
      <c r="L190" s="135"/>
      <c r="M190" s="135"/>
      <c r="N190" s="135"/>
      <c r="O190" s="135"/>
      <c r="P190" s="135"/>
      <c r="Q190" s="135"/>
      <c r="R190" s="135"/>
      <c r="S190" s="135"/>
      <c r="T190" s="135"/>
      <c r="U190" s="135"/>
      <c r="V190" s="135"/>
      <c r="W190" s="135"/>
      <c r="X190" s="135"/>
      <c r="Y190" s="135"/>
    </row>
    <row r="191" spans="5:25" x14ac:dyDescent="0.35">
      <c r="E191" s="27" t="s">
        <v>481</v>
      </c>
      <c r="G191" s="23"/>
    </row>
    <row r="192" spans="5:25" x14ac:dyDescent="0.35">
      <c r="E192" s="24"/>
      <c r="F192" s="68" t="s">
        <v>464</v>
      </c>
      <c r="G192" s="54" t="s">
        <v>167</v>
      </c>
      <c r="H192" s="97"/>
      <c r="I192" s="19"/>
      <c r="J192" s="144">
        <f t="shared" ref="J192:K192" si="80">IF(J$20, $H130, $H127)</f>
        <v>0.62012775890469907</v>
      </c>
      <c r="K192" s="144">
        <f t="shared" si="80"/>
        <v>0.62012775890469907</v>
      </c>
      <c r="L192" s="144">
        <f t="shared" ref="L192:M192" si="81">IF(L$20, $H130, $H127)</f>
        <v>0.62012775890469907</v>
      </c>
      <c r="M192" s="144">
        <f t="shared" si="81"/>
        <v>0.62012775890469907</v>
      </c>
      <c r="N192" s="144">
        <f t="shared" ref="N192:P192" si="82">IF(N$20, $H130, $H127)</f>
        <v>0.62012775890469907</v>
      </c>
      <c r="O192" s="144">
        <f t="shared" si="82"/>
        <v>0.62012775890469907</v>
      </c>
      <c r="P192" s="144">
        <f t="shared" si="82"/>
        <v>0.62012775890469907</v>
      </c>
      <c r="Q192" s="144">
        <f t="shared" ref="Q192:S192" si="83">IF(Q$20, $H130, $H127)</f>
        <v>0.58233445141271956</v>
      </c>
      <c r="R192" s="144">
        <f t="shared" si="83"/>
        <v>0.62012775890469907</v>
      </c>
      <c r="S192" s="144">
        <f t="shared" si="83"/>
        <v>0.62012775890469907</v>
      </c>
      <c r="T192" s="144">
        <f t="shared" ref="T192:U192" si="84">IF(T$20, $H130, $H127)</f>
        <v>0.62012775890469907</v>
      </c>
      <c r="U192" s="144">
        <f t="shared" si="84"/>
        <v>0.62012775890469907</v>
      </c>
      <c r="V192" s="144">
        <f t="shared" ref="V192:W192" si="85">IF(V$20, $H130, $H127)</f>
        <v>0.62012775890469907</v>
      </c>
      <c r="W192" s="144">
        <f t="shared" si="85"/>
        <v>0.62012775890469907</v>
      </c>
      <c r="X192" s="144">
        <f t="shared" ref="X192:Y192" si="86">IF(X$20, $H130, $H127)</f>
        <v>0.62012775890469907</v>
      </c>
      <c r="Y192" s="144">
        <f t="shared" si="86"/>
        <v>0.62012775890469907</v>
      </c>
    </row>
    <row r="193" spans="5:25" x14ac:dyDescent="0.35">
      <c r="E193" s="24"/>
      <c r="F193" s="62" t="s">
        <v>465</v>
      </c>
      <c r="G193" s="23" t="s">
        <v>167</v>
      </c>
      <c r="H193" s="21"/>
      <c r="J193" s="135">
        <f t="shared" ref="J193:K193" si="87">IF(J$20, $H131, $H128)</f>
        <v>0.3658018413361534</v>
      </c>
      <c r="K193" s="135">
        <f t="shared" si="87"/>
        <v>0.3658018413361534</v>
      </c>
      <c r="L193" s="135">
        <f t="shared" ref="L193:M193" si="88">IF(L$20, $H131, $H128)</f>
        <v>0.3658018413361534</v>
      </c>
      <c r="M193" s="135">
        <f t="shared" si="88"/>
        <v>0.3658018413361534</v>
      </c>
      <c r="N193" s="135">
        <f t="shared" ref="N193:P193" si="89">IF(N$20, $H131, $H128)</f>
        <v>0.3658018413361534</v>
      </c>
      <c r="O193" s="135">
        <f t="shared" si="89"/>
        <v>0.3658018413361534</v>
      </c>
      <c r="P193" s="135">
        <f t="shared" si="89"/>
        <v>0.3658018413361534</v>
      </c>
      <c r="Q193" s="135">
        <f t="shared" ref="Q193:S193" si="90">IF(Q$20, $H131, $H128)</f>
        <v>0.40359514882813285</v>
      </c>
      <c r="R193" s="135">
        <f t="shared" si="90"/>
        <v>0.3658018413361534</v>
      </c>
      <c r="S193" s="135">
        <f t="shared" si="90"/>
        <v>0.3658018413361534</v>
      </c>
      <c r="T193" s="135">
        <f t="shared" ref="T193:U193" si="91">IF(T$20, $H131, $H128)</f>
        <v>0.3658018413361534</v>
      </c>
      <c r="U193" s="135">
        <f t="shared" si="91"/>
        <v>0.3658018413361534</v>
      </c>
      <c r="V193" s="135">
        <f t="shared" ref="V193:W193" si="92">IF(V$20, $H131, $H128)</f>
        <v>0.3658018413361534</v>
      </c>
      <c r="W193" s="135">
        <f t="shared" si="92"/>
        <v>0.3658018413361534</v>
      </c>
      <c r="X193" s="135">
        <f t="shared" ref="X193:Y193" si="93">IF(X$20, $H131, $H128)</f>
        <v>0.3658018413361534</v>
      </c>
      <c r="Y193" s="135">
        <f t="shared" si="93"/>
        <v>0.3658018413361534</v>
      </c>
    </row>
    <row r="194" spans="5:25" x14ac:dyDescent="0.35">
      <c r="E194" s="24"/>
      <c r="F194" s="70" t="s">
        <v>257</v>
      </c>
      <c r="G194" s="57" t="s">
        <v>167</v>
      </c>
      <c r="H194" s="131"/>
      <c r="I194" s="28"/>
      <c r="J194" s="145">
        <f t="shared" ref="J194:K194" si="94">IF(J$20, $H132, $H129)</f>
        <v>1.4070399759147598E-2</v>
      </c>
      <c r="K194" s="145">
        <f t="shared" si="94"/>
        <v>1.4070399759147598E-2</v>
      </c>
      <c r="L194" s="145">
        <f t="shared" ref="L194:M194" si="95">IF(L$20, $H132, $H129)</f>
        <v>1.4070399759147598E-2</v>
      </c>
      <c r="M194" s="145">
        <f t="shared" si="95"/>
        <v>1.4070399759147598E-2</v>
      </c>
      <c r="N194" s="145">
        <f t="shared" ref="N194:P194" si="96">IF(N$20, $H132, $H129)</f>
        <v>1.4070399759147598E-2</v>
      </c>
      <c r="O194" s="145">
        <f t="shared" si="96"/>
        <v>1.4070399759147598E-2</v>
      </c>
      <c r="P194" s="145">
        <f t="shared" si="96"/>
        <v>1.4070399759147598E-2</v>
      </c>
      <c r="Q194" s="145">
        <f t="shared" ref="Q194:S194" si="97">IF(Q$20, $H132, $H129)</f>
        <v>1.4070399759147598E-2</v>
      </c>
      <c r="R194" s="145">
        <f t="shared" si="97"/>
        <v>1.4070399759147598E-2</v>
      </c>
      <c r="S194" s="145">
        <f t="shared" si="97"/>
        <v>1.4070399759147598E-2</v>
      </c>
      <c r="T194" s="145">
        <f t="shared" ref="T194:U194" si="98">IF(T$20, $H132, $H129)</f>
        <v>1.4070399759147598E-2</v>
      </c>
      <c r="U194" s="145">
        <f t="shared" si="98"/>
        <v>1.4070399759147598E-2</v>
      </c>
      <c r="V194" s="145">
        <f t="shared" ref="V194:W194" si="99">IF(V$20, $H132, $H129)</f>
        <v>1.4070399759147598E-2</v>
      </c>
      <c r="W194" s="145">
        <f t="shared" si="99"/>
        <v>1.4070399759147598E-2</v>
      </c>
      <c r="X194" s="145">
        <f t="shared" ref="X194:Y194" si="100">IF(X$20, $H132, $H129)</f>
        <v>1.4070399759147598E-2</v>
      </c>
      <c r="Y194" s="145">
        <f t="shared" si="100"/>
        <v>1.4070399759147598E-2</v>
      </c>
    </row>
    <row r="195" spans="5:25" x14ac:dyDescent="0.35">
      <c r="E195" s="24"/>
      <c r="F195" s="62"/>
      <c r="G195" s="23"/>
      <c r="H195" s="21"/>
      <c r="J195" s="135"/>
      <c r="K195" s="135"/>
      <c r="L195" s="135"/>
      <c r="M195" s="135"/>
      <c r="N195" s="135"/>
      <c r="O195" s="135"/>
      <c r="P195" s="135"/>
      <c r="Q195" s="135"/>
      <c r="R195" s="135"/>
      <c r="S195" s="135"/>
      <c r="T195" s="135"/>
      <c r="U195" s="135"/>
      <c r="V195" s="135"/>
      <c r="W195" s="135"/>
      <c r="X195" s="135"/>
      <c r="Y195" s="135"/>
    </row>
    <row r="196" spans="5:25" x14ac:dyDescent="0.35">
      <c r="E196" s="27" t="s">
        <v>482</v>
      </c>
      <c r="G196" s="23"/>
    </row>
    <row r="197" spans="5:25" x14ac:dyDescent="0.35">
      <c r="E197" s="24"/>
      <c r="F197" s="68" t="s">
        <v>464</v>
      </c>
      <c r="G197" s="54" t="s">
        <v>167</v>
      </c>
      <c r="H197" s="97"/>
      <c r="I197" s="19"/>
      <c r="J197" s="144">
        <f t="shared" ref="J197:K197" si="101">IF(J$20, $H138, $H135)</f>
        <v>0.62012775890469907</v>
      </c>
      <c r="K197" s="144">
        <f t="shared" si="101"/>
        <v>0.62012775890469907</v>
      </c>
      <c r="L197" s="144">
        <f t="shared" ref="L197:M197" si="102">IF(L$20, $H138, $H135)</f>
        <v>0.62012775890469907</v>
      </c>
      <c r="M197" s="144">
        <f t="shared" si="102"/>
        <v>0.62012775890469907</v>
      </c>
      <c r="N197" s="144">
        <f t="shared" ref="N197:P197" si="103">IF(N$20, $H138, $H135)</f>
        <v>0.62012775890469907</v>
      </c>
      <c r="O197" s="144">
        <f t="shared" si="103"/>
        <v>0.62012775890469907</v>
      </c>
      <c r="P197" s="144">
        <f t="shared" si="103"/>
        <v>0.62012775890469907</v>
      </c>
      <c r="Q197" s="144">
        <f t="shared" ref="Q197:S197" si="104">IF(Q$20, $H138, $H135)</f>
        <v>0.58233445141271956</v>
      </c>
      <c r="R197" s="144">
        <f t="shared" si="104"/>
        <v>0.62012775890469907</v>
      </c>
      <c r="S197" s="144">
        <f t="shared" si="104"/>
        <v>0.62012775890469907</v>
      </c>
      <c r="T197" s="144">
        <f t="shared" ref="T197:U197" si="105">IF(T$20, $H138, $H135)</f>
        <v>0.62012775890469907</v>
      </c>
      <c r="U197" s="144">
        <f t="shared" si="105"/>
        <v>0.62012775890469907</v>
      </c>
      <c r="V197" s="144">
        <f t="shared" ref="V197:W197" si="106">IF(V$20, $H138, $H135)</f>
        <v>0.62012775890469907</v>
      </c>
      <c r="W197" s="144">
        <f t="shared" si="106"/>
        <v>0.62012775890469907</v>
      </c>
      <c r="X197" s="144">
        <f t="shared" ref="X197:Y197" si="107">IF(X$20, $H138, $H135)</f>
        <v>0.62012775890469907</v>
      </c>
      <c r="Y197" s="144">
        <f t="shared" si="107"/>
        <v>0.62012775890469907</v>
      </c>
    </row>
    <row r="198" spans="5:25" x14ac:dyDescent="0.35">
      <c r="E198" s="24"/>
      <c r="F198" s="62" t="s">
        <v>465</v>
      </c>
      <c r="G198" s="23" t="s">
        <v>167</v>
      </c>
      <c r="H198" s="21"/>
      <c r="J198" s="135">
        <f t="shared" ref="J198:K198" si="108">IF(J$20, $H139, $H136)</f>
        <v>0.3658018413361534</v>
      </c>
      <c r="K198" s="135">
        <f t="shared" si="108"/>
        <v>0.3658018413361534</v>
      </c>
      <c r="L198" s="135">
        <f t="shared" ref="L198:M198" si="109">IF(L$20, $H139, $H136)</f>
        <v>0.3658018413361534</v>
      </c>
      <c r="M198" s="135">
        <f t="shared" si="109"/>
        <v>0.3658018413361534</v>
      </c>
      <c r="N198" s="135">
        <f t="shared" ref="N198:P198" si="110">IF(N$20, $H139, $H136)</f>
        <v>0.3658018413361534</v>
      </c>
      <c r="O198" s="135">
        <f t="shared" si="110"/>
        <v>0.3658018413361534</v>
      </c>
      <c r="P198" s="135">
        <f t="shared" si="110"/>
        <v>0.3658018413361534</v>
      </c>
      <c r="Q198" s="135">
        <f t="shared" ref="Q198:S198" si="111">IF(Q$20, $H139, $H136)</f>
        <v>0.40359514882813285</v>
      </c>
      <c r="R198" s="135">
        <f t="shared" si="111"/>
        <v>0.3658018413361534</v>
      </c>
      <c r="S198" s="135">
        <f t="shared" si="111"/>
        <v>0.3658018413361534</v>
      </c>
      <c r="T198" s="135">
        <f t="shared" ref="T198:U198" si="112">IF(T$20, $H139, $H136)</f>
        <v>0.3658018413361534</v>
      </c>
      <c r="U198" s="135">
        <f t="shared" si="112"/>
        <v>0.3658018413361534</v>
      </c>
      <c r="V198" s="135">
        <f t="shared" ref="V198:W198" si="113">IF(V$20, $H139, $H136)</f>
        <v>0.3658018413361534</v>
      </c>
      <c r="W198" s="135">
        <f t="shared" si="113"/>
        <v>0.3658018413361534</v>
      </c>
      <c r="X198" s="135">
        <f t="shared" ref="X198:Y198" si="114">IF(X$20, $H139, $H136)</f>
        <v>0.3658018413361534</v>
      </c>
      <c r="Y198" s="135">
        <f t="shared" si="114"/>
        <v>0.3658018413361534</v>
      </c>
    </row>
    <row r="199" spans="5:25" x14ac:dyDescent="0.35">
      <c r="E199" s="24"/>
      <c r="F199" s="70" t="s">
        <v>257</v>
      </c>
      <c r="G199" s="57" t="s">
        <v>167</v>
      </c>
      <c r="H199" s="131"/>
      <c r="I199" s="28"/>
      <c r="J199" s="145">
        <f t="shared" ref="J199:K199" si="115">IF(J$20, $H140, $H137)</f>
        <v>1.4070399759147598E-2</v>
      </c>
      <c r="K199" s="145">
        <f t="shared" si="115"/>
        <v>1.4070399759147598E-2</v>
      </c>
      <c r="L199" s="145">
        <f t="shared" ref="L199:M199" si="116">IF(L$20, $H140, $H137)</f>
        <v>1.4070399759147598E-2</v>
      </c>
      <c r="M199" s="145">
        <f t="shared" si="116"/>
        <v>1.4070399759147598E-2</v>
      </c>
      <c r="N199" s="145">
        <f t="shared" ref="N199:P199" si="117">IF(N$20, $H140, $H137)</f>
        <v>1.4070399759147598E-2</v>
      </c>
      <c r="O199" s="145">
        <f t="shared" si="117"/>
        <v>1.4070399759147598E-2</v>
      </c>
      <c r="P199" s="145">
        <f t="shared" si="117"/>
        <v>1.4070399759147598E-2</v>
      </c>
      <c r="Q199" s="145">
        <f t="shared" ref="Q199:S199" si="118">IF(Q$20, $H140, $H137)</f>
        <v>1.4070399759147598E-2</v>
      </c>
      <c r="R199" s="145">
        <f t="shared" si="118"/>
        <v>1.4070399759147598E-2</v>
      </c>
      <c r="S199" s="145">
        <f t="shared" si="118"/>
        <v>1.4070399759147598E-2</v>
      </c>
      <c r="T199" s="145">
        <f t="shared" ref="T199:U199" si="119">IF(T$20, $H140, $H137)</f>
        <v>1.4070399759147598E-2</v>
      </c>
      <c r="U199" s="145">
        <f t="shared" si="119"/>
        <v>1.4070399759147598E-2</v>
      </c>
      <c r="V199" s="145">
        <f t="shared" ref="V199:W199" si="120">IF(V$20, $H140, $H137)</f>
        <v>1.4070399759147598E-2</v>
      </c>
      <c r="W199" s="145">
        <f t="shared" si="120"/>
        <v>1.4070399759147598E-2</v>
      </c>
      <c r="X199" s="145">
        <f t="shared" ref="X199:Y199" si="121">IF(X$20, $H140, $H137)</f>
        <v>1.4070399759147598E-2</v>
      </c>
      <c r="Y199" s="145">
        <f t="shared" si="121"/>
        <v>1.4070399759147598E-2</v>
      </c>
    </row>
    <row r="200" spans="5:25" x14ac:dyDescent="0.35">
      <c r="E200" s="24"/>
      <c r="F200" s="62"/>
      <c r="G200" s="23"/>
      <c r="H200" s="21"/>
      <c r="J200" s="135"/>
      <c r="K200" s="135"/>
      <c r="L200" s="135"/>
      <c r="M200" s="135"/>
      <c r="N200" s="135"/>
      <c r="O200" s="135"/>
      <c r="P200" s="135"/>
      <c r="Q200" s="135"/>
      <c r="R200" s="135"/>
      <c r="S200" s="135"/>
      <c r="T200" s="135"/>
      <c r="U200" s="135"/>
      <c r="V200" s="135"/>
      <c r="W200" s="135"/>
      <c r="X200" s="135"/>
      <c r="Y200" s="135"/>
    </row>
    <row r="201" spans="5:25" x14ac:dyDescent="0.35">
      <c r="E201" s="27" t="s">
        <v>483</v>
      </c>
      <c r="G201" s="23"/>
    </row>
    <row r="202" spans="5:25" x14ac:dyDescent="0.35">
      <c r="E202" s="24"/>
      <c r="F202" s="68" t="s">
        <v>464</v>
      </c>
      <c r="G202" s="54" t="s">
        <v>167</v>
      </c>
      <c r="H202" s="97"/>
      <c r="I202" s="19"/>
      <c r="J202" s="144">
        <f t="shared" ref="J202:K202" si="122">IF(J$20, $H146, $H143)</f>
        <v>0</v>
      </c>
      <c r="K202" s="144">
        <f t="shared" si="122"/>
        <v>0</v>
      </c>
      <c r="L202" s="144">
        <f t="shared" ref="L202:M202" si="123">IF(L$20, $H146, $H143)</f>
        <v>0</v>
      </c>
      <c r="M202" s="144">
        <f t="shared" si="123"/>
        <v>0</v>
      </c>
      <c r="N202" s="144">
        <f t="shared" ref="N202:P202" si="124">IF(N$20, $H146, $H143)</f>
        <v>0</v>
      </c>
      <c r="O202" s="144">
        <f t="shared" si="124"/>
        <v>0</v>
      </c>
      <c r="P202" s="144">
        <f t="shared" si="124"/>
        <v>0</v>
      </c>
      <c r="Q202" s="144">
        <f t="shared" ref="Q202:S202" si="125">IF(Q$20, $H146, $H143)</f>
        <v>0</v>
      </c>
      <c r="R202" s="144">
        <f t="shared" si="125"/>
        <v>0</v>
      </c>
      <c r="S202" s="144">
        <f t="shared" si="125"/>
        <v>0</v>
      </c>
      <c r="T202" s="144">
        <f t="shared" ref="T202:U202" si="126">IF(T$20, $H146, $H143)</f>
        <v>0</v>
      </c>
      <c r="U202" s="144">
        <f t="shared" si="126"/>
        <v>0</v>
      </c>
      <c r="V202" s="144">
        <f t="shared" ref="V202:W202" si="127">IF(V$20, $H146, $H143)</f>
        <v>0</v>
      </c>
      <c r="W202" s="144">
        <f t="shared" si="127"/>
        <v>0</v>
      </c>
      <c r="X202" s="144">
        <f t="shared" ref="X202:Y202" si="128">IF(X$20, $H146, $H143)</f>
        <v>0</v>
      </c>
      <c r="Y202" s="144">
        <f t="shared" si="128"/>
        <v>0</v>
      </c>
    </row>
    <row r="203" spans="5:25" x14ac:dyDescent="0.35">
      <c r="E203" s="24"/>
      <c r="F203" s="62" t="s">
        <v>465</v>
      </c>
      <c r="G203" s="23" t="s">
        <v>167</v>
      </c>
      <c r="H203" s="21"/>
      <c r="J203" s="135">
        <f t="shared" ref="J203:K203" si="129">IF(J$20, $H147, $H144)</f>
        <v>0</v>
      </c>
      <c r="K203" s="135">
        <f t="shared" si="129"/>
        <v>0</v>
      </c>
      <c r="L203" s="135">
        <f t="shared" ref="L203:M203" si="130">IF(L$20, $H147, $H144)</f>
        <v>0</v>
      </c>
      <c r="M203" s="135">
        <f t="shared" si="130"/>
        <v>0</v>
      </c>
      <c r="N203" s="135">
        <f t="shared" ref="N203:P203" si="131">IF(N$20, $H147, $H144)</f>
        <v>0</v>
      </c>
      <c r="O203" s="135">
        <f t="shared" si="131"/>
        <v>0</v>
      </c>
      <c r="P203" s="135">
        <f t="shared" si="131"/>
        <v>0</v>
      </c>
      <c r="Q203" s="135">
        <f t="shared" ref="Q203:S203" si="132">IF(Q$20, $H147, $H144)</f>
        <v>0</v>
      </c>
      <c r="R203" s="135">
        <f t="shared" si="132"/>
        <v>0</v>
      </c>
      <c r="S203" s="135">
        <f t="shared" si="132"/>
        <v>0</v>
      </c>
      <c r="T203" s="135">
        <f t="shared" ref="T203:U203" si="133">IF(T$20, $H147, $H144)</f>
        <v>0</v>
      </c>
      <c r="U203" s="135">
        <f t="shared" si="133"/>
        <v>0</v>
      </c>
      <c r="V203" s="135">
        <f t="shared" ref="V203:W203" si="134">IF(V$20, $H147, $H144)</f>
        <v>0</v>
      </c>
      <c r="W203" s="135">
        <f t="shared" si="134"/>
        <v>0</v>
      </c>
      <c r="X203" s="135">
        <f t="shared" ref="X203:Y203" si="135">IF(X$20, $H147, $H144)</f>
        <v>0</v>
      </c>
      <c r="Y203" s="135">
        <f t="shared" si="135"/>
        <v>0</v>
      </c>
    </row>
    <row r="204" spans="5:25" x14ac:dyDescent="0.35">
      <c r="E204" s="24"/>
      <c r="F204" s="70" t="s">
        <v>257</v>
      </c>
      <c r="G204" s="57" t="s">
        <v>167</v>
      </c>
      <c r="H204" s="131"/>
      <c r="I204" s="28"/>
      <c r="J204" s="145">
        <f t="shared" ref="J204:K204" si="136">IF(J$20, $H148, $H145)</f>
        <v>0</v>
      </c>
      <c r="K204" s="145">
        <f t="shared" si="136"/>
        <v>0</v>
      </c>
      <c r="L204" s="145">
        <f t="shared" ref="L204:M204" si="137">IF(L$20, $H148, $H145)</f>
        <v>0</v>
      </c>
      <c r="M204" s="145">
        <f t="shared" si="137"/>
        <v>0</v>
      </c>
      <c r="N204" s="145">
        <f t="shared" ref="N204:P204" si="138">IF(N$20, $H148, $H145)</f>
        <v>0</v>
      </c>
      <c r="O204" s="145">
        <f t="shared" si="138"/>
        <v>0</v>
      </c>
      <c r="P204" s="145">
        <f t="shared" si="138"/>
        <v>0</v>
      </c>
      <c r="Q204" s="145">
        <f t="shared" ref="Q204:S204" si="139">IF(Q$20, $H148, $H145)</f>
        <v>0</v>
      </c>
      <c r="R204" s="145">
        <f t="shared" si="139"/>
        <v>0</v>
      </c>
      <c r="S204" s="145">
        <f t="shared" si="139"/>
        <v>0</v>
      </c>
      <c r="T204" s="145">
        <f t="shared" ref="T204:U204" si="140">IF(T$20, $H148, $H145)</f>
        <v>0</v>
      </c>
      <c r="U204" s="145">
        <f t="shared" si="140"/>
        <v>0</v>
      </c>
      <c r="V204" s="145">
        <f t="shared" ref="V204:W204" si="141">IF(V$20, $H148, $H145)</f>
        <v>0</v>
      </c>
      <c r="W204" s="145">
        <f t="shared" si="141"/>
        <v>0</v>
      </c>
      <c r="X204" s="145">
        <f t="shared" ref="X204:Y204" si="142">IF(X$20, $H148, $H145)</f>
        <v>0</v>
      </c>
      <c r="Y204" s="145">
        <f t="shared" si="142"/>
        <v>0</v>
      </c>
    </row>
    <row r="205" spans="5:25" x14ac:dyDescent="0.35">
      <c r="E205" s="24"/>
      <c r="F205" s="62"/>
      <c r="G205" s="23"/>
      <c r="H205" s="21"/>
      <c r="J205" s="135"/>
      <c r="K205" s="135"/>
      <c r="L205" s="135"/>
      <c r="M205" s="135"/>
      <c r="N205" s="135"/>
      <c r="O205" s="135"/>
      <c r="P205" s="135"/>
      <c r="Q205" s="135"/>
      <c r="R205" s="135"/>
      <c r="S205" s="135"/>
      <c r="T205" s="135"/>
      <c r="U205" s="135"/>
      <c r="V205" s="135"/>
      <c r="W205" s="135"/>
      <c r="X205" s="135"/>
      <c r="Y205" s="135"/>
    </row>
    <row r="206" spans="5:25" x14ac:dyDescent="0.35">
      <c r="E206" s="27" t="s">
        <v>484</v>
      </c>
      <c r="G206" s="23"/>
    </row>
    <row r="207" spans="5:25" x14ac:dyDescent="0.35">
      <c r="E207" s="24"/>
      <c r="F207" s="68" t="s">
        <v>464</v>
      </c>
      <c r="G207" s="54" t="s">
        <v>167</v>
      </c>
      <c r="H207" s="97"/>
      <c r="I207" s="19"/>
      <c r="J207" s="144">
        <f t="shared" ref="J207:K207" si="143">IF(J$20, $H154, $H151)</f>
        <v>0.39082112842901467</v>
      </c>
      <c r="K207" s="144">
        <f t="shared" si="143"/>
        <v>0.39082112842901467</v>
      </c>
      <c r="L207" s="144">
        <f t="shared" ref="L207:M207" si="144">IF(L$20, $H154, $H151)</f>
        <v>0.39082112842901467</v>
      </c>
      <c r="M207" s="144">
        <f t="shared" si="144"/>
        <v>0.39082112842901467</v>
      </c>
      <c r="N207" s="144">
        <f t="shared" ref="N207:P207" si="145">IF(N$20, $H154, $H151)</f>
        <v>0.39082112842901467</v>
      </c>
      <c r="O207" s="144">
        <f t="shared" si="145"/>
        <v>0.39082112842901467</v>
      </c>
      <c r="P207" s="144">
        <f t="shared" si="145"/>
        <v>0.39082112842901467</v>
      </c>
      <c r="Q207" s="144">
        <f t="shared" ref="Q207:S207" si="146">IF(Q$20, $H154, $H151)</f>
        <v>0.35138266357062015</v>
      </c>
      <c r="R207" s="144">
        <f t="shared" si="146"/>
        <v>0.39082112842901467</v>
      </c>
      <c r="S207" s="144">
        <f t="shared" si="146"/>
        <v>0.39082112842901467</v>
      </c>
      <c r="T207" s="144">
        <f t="shared" ref="T207:U207" si="147">IF(T$20, $H154, $H151)</f>
        <v>0.39082112842901467</v>
      </c>
      <c r="U207" s="144">
        <f t="shared" si="147"/>
        <v>0.39082112842901467</v>
      </c>
      <c r="V207" s="144">
        <f t="shared" ref="V207:W207" si="148">IF(V$20, $H154, $H151)</f>
        <v>0.39082112842901467</v>
      </c>
      <c r="W207" s="144">
        <f t="shared" si="148"/>
        <v>0.39082112842901467</v>
      </c>
      <c r="X207" s="144">
        <f t="shared" ref="X207:Y207" si="149">IF(X$20, $H154, $H151)</f>
        <v>0.39082112842901467</v>
      </c>
      <c r="Y207" s="144">
        <f t="shared" si="149"/>
        <v>0.39082112842901467</v>
      </c>
    </row>
    <row r="208" spans="5:25" x14ac:dyDescent="0.35">
      <c r="E208" s="24"/>
      <c r="F208" s="62" t="s">
        <v>465</v>
      </c>
      <c r="G208" s="23" t="s">
        <v>167</v>
      </c>
      <c r="H208" s="21"/>
      <c r="J208" s="135">
        <f t="shared" ref="J208:K208" si="150">IF(J$20, $H155, $H152)</f>
        <v>0.58480041563597007</v>
      </c>
      <c r="K208" s="135">
        <f t="shared" si="150"/>
        <v>0.58480041563597007</v>
      </c>
      <c r="L208" s="135">
        <f t="shared" ref="L208:M208" si="151">IF(L$20, $H155, $H152)</f>
        <v>0.58480041563597007</v>
      </c>
      <c r="M208" s="135">
        <f t="shared" si="151"/>
        <v>0.58480041563597007</v>
      </c>
      <c r="N208" s="135">
        <f t="shared" ref="N208:P208" si="152">IF(N$20, $H155, $H152)</f>
        <v>0.58480041563597007</v>
      </c>
      <c r="O208" s="135">
        <f t="shared" si="152"/>
        <v>0.58480041563597007</v>
      </c>
      <c r="P208" s="135">
        <f t="shared" si="152"/>
        <v>0.58480041563597007</v>
      </c>
      <c r="Q208" s="135">
        <f t="shared" ref="Q208:S208" si="153">IF(Q$20, $H155, $H152)</f>
        <v>0.6242388804943646</v>
      </c>
      <c r="R208" s="135">
        <f t="shared" si="153"/>
        <v>0.58480041563597007</v>
      </c>
      <c r="S208" s="135">
        <f t="shared" si="153"/>
        <v>0.58480041563597007</v>
      </c>
      <c r="T208" s="135">
        <f t="shared" ref="T208:U208" si="154">IF(T$20, $H155, $H152)</f>
        <v>0.58480041563597007</v>
      </c>
      <c r="U208" s="135">
        <f t="shared" si="154"/>
        <v>0.58480041563597007</v>
      </c>
      <c r="V208" s="135">
        <f t="shared" ref="V208:W208" si="155">IF(V$20, $H155, $H152)</f>
        <v>0.58480041563597007</v>
      </c>
      <c r="W208" s="135">
        <f t="shared" si="155"/>
        <v>0.58480041563597007</v>
      </c>
      <c r="X208" s="135">
        <f t="shared" ref="X208:Y208" si="156">IF(X$20, $H155, $H152)</f>
        <v>0.58480041563597007</v>
      </c>
      <c r="Y208" s="135">
        <f t="shared" si="156"/>
        <v>0.58480041563597007</v>
      </c>
    </row>
    <row r="209" spans="3:27" x14ac:dyDescent="0.35">
      <c r="E209" s="24"/>
      <c r="F209" s="70" t="s">
        <v>257</v>
      </c>
      <c r="G209" s="57" t="s">
        <v>167</v>
      </c>
      <c r="H209" s="131"/>
      <c r="I209" s="28"/>
      <c r="J209" s="145">
        <f t="shared" ref="J209:K209" si="157">IF(J$20, $H156, $H153)</f>
        <v>2.4378455935015281E-2</v>
      </c>
      <c r="K209" s="145">
        <f t="shared" si="157"/>
        <v>2.4378455935015281E-2</v>
      </c>
      <c r="L209" s="145">
        <f t="shared" ref="L209:M209" si="158">IF(L$20, $H156, $H153)</f>
        <v>2.4378455935015281E-2</v>
      </c>
      <c r="M209" s="145">
        <f t="shared" si="158"/>
        <v>2.4378455935015281E-2</v>
      </c>
      <c r="N209" s="145">
        <f t="shared" ref="N209:P209" si="159">IF(N$20, $H156, $H153)</f>
        <v>2.4378455935015281E-2</v>
      </c>
      <c r="O209" s="145">
        <f t="shared" si="159"/>
        <v>2.4378455935015281E-2</v>
      </c>
      <c r="P209" s="145">
        <f t="shared" si="159"/>
        <v>2.4378455935015281E-2</v>
      </c>
      <c r="Q209" s="145">
        <f t="shared" ref="Q209:S209" si="160">IF(Q$20, $H156, $H153)</f>
        <v>2.4378455935015281E-2</v>
      </c>
      <c r="R209" s="145">
        <f t="shared" si="160"/>
        <v>2.4378455935015281E-2</v>
      </c>
      <c r="S209" s="145">
        <f t="shared" si="160"/>
        <v>2.4378455935015281E-2</v>
      </c>
      <c r="T209" s="145">
        <f t="shared" ref="T209:U209" si="161">IF(T$20, $H156, $H153)</f>
        <v>2.4378455935015281E-2</v>
      </c>
      <c r="U209" s="145">
        <f t="shared" si="161"/>
        <v>2.4378455935015281E-2</v>
      </c>
      <c r="V209" s="145">
        <f t="shared" ref="V209:W209" si="162">IF(V$20, $H156, $H153)</f>
        <v>2.4378455935015281E-2</v>
      </c>
      <c r="W209" s="145">
        <f t="shared" si="162"/>
        <v>2.4378455935015281E-2</v>
      </c>
      <c r="X209" s="145">
        <f t="shared" ref="X209:Y209" si="163">IF(X$20, $H156, $H153)</f>
        <v>2.4378455935015281E-2</v>
      </c>
      <c r="Y209" s="145">
        <f t="shared" si="163"/>
        <v>2.4378455935015281E-2</v>
      </c>
    </row>
    <row r="210" spans="3:27" x14ac:dyDescent="0.35">
      <c r="E210" s="24"/>
      <c r="F210" s="62"/>
      <c r="G210" s="23"/>
      <c r="H210" s="21"/>
      <c r="J210" s="135"/>
      <c r="K210" s="135"/>
      <c r="L210" s="135"/>
      <c r="M210" s="135"/>
      <c r="N210" s="135"/>
      <c r="O210" s="135"/>
      <c r="P210" s="135"/>
      <c r="Q210" s="135"/>
      <c r="R210" s="135"/>
      <c r="S210" s="135"/>
      <c r="T210" s="135"/>
      <c r="U210" s="135"/>
      <c r="V210" s="135"/>
      <c r="W210" s="135"/>
      <c r="X210" s="135"/>
      <c r="Y210" s="135"/>
    </row>
    <row r="211" spans="3:27" x14ac:dyDescent="0.35">
      <c r="E211" s="27" t="s">
        <v>485</v>
      </c>
      <c r="G211" s="23"/>
    </row>
    <row r="212" spans="3:27" x14ac:dyDescent="0.35">
      <c r="E212" s="24"/>
      <c r="F212" s="68" t="s">
        <v>464</v>
      </c>
      <c r="G212" s="54" t="s">
        <v>167</v>
      </c>
      <c r="H212" s="97"/>
      <c r="I212" s="19"/>
      <c r="J212" s="144">
        <f t="shared" ref="J212:K212" si="164">IF(J$20, $H162, $H159)</f>
        <v>0.39082112842901467</v>
      </c>
      <c r="K212" s="144">
        <f t="shared" si="164"/>
        <v>0.39082112842901467</v>
      </c>
      <c r="L212" s="144">
        <f t="shared" ref="L212:M212" si="165">IF(L$20, $H162, $H159)</f>
        <v>0.39082112842901467</v>
      </c>
      <c r="M212" s="144">
        <f t="shared" si="165"/>
        <v>0.39082112842901467</v>
      </c>
      <c r="N212" s="144">
        <f t="shared" ref="N212:P212" si="166">IF(N$20, $H162, $H159)</f>
        <v>0.39082112842901467</v>
      </c>
      <c r="O212" s="144">
        <f t="shared" si="166"/>
        <v>0.39082112842901467</v>
      </c>
      <c r="P212" s="144">
        <f t="shared" si="166"/>
        <v>0.39082112842901467</v>
      </c>
      <c r="Q212" s="144">
        <f t="shared" ref="Q212:S212" si="167">IF(Q$20, $H162, $H159)</f>
        <v>0.35138266357062015</v>
      </c>
      <c r="R212" s="144">
        <f t="shared" si="167"/>
        <v>0.39082112842901467</v>
      </c>
      <c r="S212" s="144">
        <f t="shared" si="167"/>
        <v>0.39082112842901467</v>
      </c>
      <c r="T212" s="144">
        <f t="shared" ref="T212:U212" si="168">IF(T$20, $H162, $H159)</f>
        <v>0.39082112842901467</v>
      </c>
      <c r="U212" s="144">
        <f t="shared" si="168"/>
        <v>0.39082112842901467</v>
      </c>
      <c r="V212" s="144">
        <f t="shared" ref="V212:W212" si="169">IF(V$20, $H162, $H159)</f>
        <v>0.39082112842901467</v>
      </c>
      <c r="W212" s="144">
        <f t="shared" si="169"/>
        <v>0.39082112842901467</v>
      </c>
      <c r="X212" s="144">
        <f t="shared" ref="X212:Y212" si="170">IF(X$20, $H162, $H159)</f>
        <v>0.39082112842901467</v>
      </c>
      <c r="Y212" s="144">
        <f t="shared" si="170"/>
        <v>0.39082112842901467</v>
      </c>
    </row>
    <row r="213" spans="3:27" x14ac:dyDescent="0.35">
      <c r="E213" s="24"/>
      <c r="F213" s="62" t="s">
        <v>465</v>
      </c>
      <c r="G213" s="23" t="s">
        <v>167</v>
      </c>
      <c r="H213" s="21"/>
      <c r="J213" s="135">
        <f t="shared" ref="J213:K213" si="171">IF(J$20, $H163, $H160)</f>
        <v>0.58480041563597007</v>
      </c>
      <c r="K213" s="135">
        <f t="shared" si="171"/>
        <v>0.58480041563597007</v>
      </c>
      <c r="L213" s="135">
        <f t="shared" ref="L213:M213" si="172">IF(L$20, $H163, $H160)</f>
        <v>0.58480041563597007</v>
      </c>
      <c r="M213" s="135">
        <f t="shared" si="172"/>
        <v>0.58480041563597007</v>
      </c>
      <c r="N213" s="135">
        <f t="shared" ref="N213:P213" si="173">IF(N$20, $H163, $H160)</f>
        <v>0.58480041563597007</v>
      </c>
      <c r="O213" s="135">
        <f t="shared" si="173"/>
        <v>0.58480041563597007</v>
      </c>
      <c r="P213" s="135">
        <f t="shared" si="173"/>
        <v>0.58480041563597007</v>
      </c>
      <c r="Q213" s="135">
        <f t="shared" ref="Q213:S213" si="174">IF(Q$20, $H163, $H160)</f>
        <v>0.6242388804943646</v>
      </c>
      <c r="R213" s="135">
        <f t="shared" si="174"/>
        <v>0.58480041563597007</v>
      </c>
      <c r="S213" s="135">
        <f t="shared" si="174"/>
        <v>0.58480041563597007</v>
      </c>
      <c r="T213" s="135">
        <f t="shared" ref="T213:U213" si="175">IF(T$20, $H163, $H160)</f>
        <v>0.58480041563597007</v>
      </c>
      <c r="U213" s="135">
        <f t="shared" si="175"/>
        <v>0.58480041563597007</v>
      </c>
      <c r="V213" s="135">
        <f t="shared" ref="V213:W213" si="176">IF(V$20, $H163, $H160)</f>
        <v>0.58480041563597007</v>
      </c>
      <c r="W213" s="135">
        <f t="shared" si="176"/>
        <v>0.58480041563597007</v>
      </c>
      <c r="X213" s="135">
        <f t="shared" ref="X213:Y213" si="177">IF(X$20, $H163, $H160)</f>
        <v>0.58480041563597007</v>
      </c>
      <c r="Y213" s="135">
        <f t="shared" si="177"/>
        <v>0.58480041563597007</v>
      </c>
    </row>
    <row r="214" spans="3:27" x14ac:dyDescent="0.35">
      <c r="E214" s="24"/>
      <c r="F214" s="70" t="s">
        <v>257</v>
      </c>
      <c r="G214" s="57" t="s">
        <v>167</v>
      </c>
      <c r="H214" s="131"/>
      <c r="I214" s="28"/>
      <c r="J214" s="145">
        <f t="shared" ref="J214:K214" si="178">IF(J$20, $H164, $H161)</f>
        <v>2.4378455935015281E-2</v>
      </c>
      <c r="K214" s="145">
        <f t="shared" si="178"/>
        <v>2.4378455935015281E-2</v>
      </c>
      <c r="L214" s="145">
        <f t="shared" ref="L214:M214" si="179">IF(L$20, $H164, $H161)</f>
        <v>2.4378455935015281E-2</v>
      </c>
      <c r="M214" s="145">
        <f t="shared" si="179"/>
        <v>2.4378455935015281E-2</v>
      </c>
      <c r="N214" s="145">
        <f t="shared" ref="N214:P214" si="180">IF(N$20, $H164, $H161)</f>
        <v>2.4378455935015281E-2</v>
      </c>
      <c r="O214" s="145">
        <f t="shared" si="180"/>
        <v>2.4378455935015281E-2</v>
      </c>
      <c r="P214" s="145">
        <f t="shared" si="180"/>
        <v>2.4378455935015281E-2</v>
      </c>
      <c r="Q214" s="145">
        <f t="shared" ref="Q214:S214" si="181">IF(Q$20, $H164, $H161)</f>
        <v>2.4378455935015281E-2</v>
      </c>
      <c r="R214" s="145">
        <f t="shared" si="181"/>
        <v>2.4378455935015281E-2</v>
      </c>
      <c r="S214" s="145">
        <f t="shared" si="181"/>
        <v>2.4378455935015281E-2</v>
      </c>
      <c r="T214" s="145">
        <f t="shared" ref="T214:U214" si="182">IF(T$20, $H164, $H161)</f>
        <v>2.4378455935015281E-2</v>
      </c>
      <c r="U214" s="145">
        <f t="shared" si="182"/>
        <v>2.4378455935015281E-2</v>
      </c>
      <c r="V214" s="145">
        <f t="shared" ref="V214:W214" si="183">IF(V$20, $H164, $H161)</f>
        <v>2.4378455935015281E-2</v>
      </c>
      <c r="W214" s="145">
        <f t="shared" si="183"/>
        <v>2.4378455935015281E-2</v>
      </c>
      <c r="X214" s="145">
        <f t="shared" ref="X214:Y214" si="184">IF(X$20, $H164, $H161)</f>
        <v>2.4378455935015281E-2</v>
      </c>
      <c r="Y214" s="145">
        <f t="shared" si="184"/>
        <v>2.4378455935015281E-2</v>
      </c>
    </row>
    <row r="215" spans="3:27" x14ac:dyDescent="0.35">
      <c r="E215" s="24"/>
      <c r="F215" s="62"/>
      <c r="G215" s="23"/>
      <c r="H215" s="21"/>
      <c r="J215" s="135"/>
      <c r="K215" s="135"/>
      <c r="L215" s="135"/>
      <c r="M215" s="135"/>
      <c r="N215" s="135"/>
      <c r="O215" s="135"/>
      <c r="P215" s="135"/>
      <c r="Q215" s="135"/>
      <c r="R215" s="135"/>
      <c r="S215" s="135"/>
      <c r="T215" s="135"/>
      <c r="U215" s="135"/>
      <c r="V215" s="135"/>
      <c r="W215" s="135"/>
      <c r="X215" s="135"/>
      <c r="Y215" s="135"/>
    </row>
    <row r="216" spans="3:27" x14ac:dyDescent="0.35">
      <c r="E216" s="27" t="s">
        <v>486</v>
      </c>
      <c r="G216" s="23"/>
    </row>
    <row r="217" spans="3:27" x14ac:dyDescent="0.35">
      <c r="E217" s="24"/>
      <c r="F217" s="68" t="s">
        <v>464</v>
      </c>
      <c r="G217" s="54" t="s">
        <v>167</v>
      </c>
      <c r="H217" s="97"/>
      <c r="I217" s="19"/>
      <c r="J217" s="144">
        <f t="shared" ref="J217:K217" si="185">IF(J$20, $H170, $H167)</f>
        <v>0.39082112842901467</v>
      </c>
      <c r="K217" s="144">
        <f t="shared" si="185"/>
        <v>0.39082112842901467</v>
      </c>
      <c r="L217" s="144">
        <f t="shared" ref="L217:M217" si="186">IF(L$20, $H170, $H167)</f>
        <v>0.39082112842901467</v>
      </c>
      <c r="M217" s="144">
        <f t="shared" si="186"/>
        <v>0.39082112842901467</v>
      </c>
      <c r="N217" s="144">
        <f t="shared" ref="N217:P217" si="187">IF(N$20, $H170, $H167)</f>
        <v>0.39082112842901467</v>
      </c>
      <c r="O217" s="144">
        <f t="shared" si="187"/>
        <v>0.39082112842901467</v>
      </c>
      <c r="P217" s="144">
        <f t="shared" si="187"/>
        <v>0.39082112842901467</v>
      </c>
      <c r="Q217" s="144">
        <f t="shared" ref="Q217:S217" si="188">IF(Q$20, $H170, $H167)</f>
        <v>0.35138266357062015</v>
      </c>
      <c r="R217" s="144">
        <f t="shared" si="188"/>
        <v>0.39082112842901467</v>
      </c>
      <c r="S217" s="144">
        <f t="shared" si="188"/>
        <v>0.39082112842901467</v>
      </c>
      <c r="T217" s="144">
        <f t="shared" ref="T217:U217" si="189">IF(T$20, $H170, $H167)</f>
        <v>0.39082112842901467</v>
      </c>
      <c r="U217" s="144">
        <f t="shared" si="189"/>
        <v>0.39082112842901467</v>
      </c>
      <c r="V217" s="144">
        <f t="shared" ref="V217:W217" si="190">IF(V$20, $H170, $H167)</f>
        <v>0.39082112842901467</v>
      </c>
      <c r="W217" s="144">
        <f t="shared" si="190"/>
        <v>0.39082112842901467</v>
      </c>
      <c r="X217" s="144">
        <f t="shared" ref="X217:Y217" si="191">IF(X$20, $H170, $H167)</f>
        <v>0.39082112842901467</v>
      </c>
      <c r="Y217" s="144">
        <f t="shared" si="191"/>
        <v>0.39082112842901467</v>
      </c>
    </row>
    <row r="218" spans="3:27" x14ac:dyDescent="0.35">
      <c r="E218" s="24"/>
      <c r="F218" s="62" t="s">
        <v>465</v>
      </c>
      <c r="G218" s="23" t="s">
        <v>167</v>
      </c>
      <c r="H218" s="21"/>
      <c r="J218" s="135">
        <f t="shared" ref="J218:K218" si="192">IF(J$20, $H171, $H168)</f>
        <v>0.58480041563597007</v>
      </c>
      <c r="K218" s="135">
        <f t="shared" si="192"/>
        <v>0.58480041563597007</v>
      </c>
      <c r="L218" s="135">
        <f t="shared" ref="L218:M218" si="193">IF(L$20, $H171, $H168)</f>
        <v>0.58480041563597007</v>
      </c>
      <c r="M218" s="135">
        <f t="shared" si="193"/>
        <v>0.58480041563597007</v>
      </c>
      <c r="N218" s="135">
        <f t="shared" ref="N218:P218" si="194">IF(N$20, $H171, $H168)</f>
        <v>0.58480041563597007</v>
      </c>
      <c r="O218" s="135">
        <f t="shared" si="194"/>
        <v>0.58480041563597007</v>
      </c>
      <c r="P218" s="135">
        <f t="shared" si="194"/>
        <v>0.58480041563597007</v>
      </c>
      <c r="Q218" s="135">
        <f t="shared" ref="Q218:S218" si="195">IF(Q$20, $H171, $H168)</f>
        <v>0.6242388804943646</v>
      </c>
      <c r="R218" s="135">
        <f t="shared" si="195"/>
        <v>0.58480041563597007</v>
      </c>
      <c r="S218" s="135">
        <f t="shared" si="195"/>
        <v>0.58480041563597007</v>
      </c>
      <c r="T218" s="135">
        <f t="shared" ref="T218:U218" si="196">IF(T$20, $H171, $H168)</f>
        <v>0.58480041563597007</v>
      </c>
      <c r="U218" s="135">
        <f t="shared" si="196"/>
        <v>0.58480041563597007</v>
      </c>
      <c r="V218" s="135">
        <f t="shared" ref="V218:W218" si="197">IF(V$20, $H171, $H168)</f>
        <v>0.58480041563597007</v>
      </c>
      <c r="W218" s="135">
        <f t="shared" si="197"/>
        <v>0.58480041563597007</v>
      </c>
      <c r="X218" s="135">
        <f t="shared" ref="X218:Y218" si="198">IF(X$20, $H171, $H168)</f>
        <v>0.58480041563597007</v>
      </c>
      <c r="Y218" s="135">
        <f t="shared" si="198"/>
        <v>0.58480041563597007</v>
      </c>
    </row>
    <row r="219" spans="3:27" x14ac:dyDescent="0.35">
      <c r="E219" s="24"/>
      <c r="F219" s="70" t="s">
        <v>257</v>
      </c>
      <c r="G219" s="57" t="s">
        <v>167</v>
      </c>
      <c r="H219" s="131"/>
      <c r="I219" s="28"/>
      <c r="J219" s="145">
        <f t="shared" ref="J219:K219" si="199">IF(J$20, $H172, $H169)</f>
        <v>2.4378455935015281E-2</v>
      </c>
      <c r="K219" s="145">
        <f t="shared" si="199"/>
        <v>2.4378455935015281E-2</v>
      </c>
      <c r="L219" s="145">
        <f t="shared" ref="L219:M219" si="200">IF(L$20, $H172, $H169)</f>
        <v>2.4378455935015281E-2</v>
      </c>
      <c r="M219" s="145">
        <f t="shared" si="200"/>
        <v>2.4378455935015281E-2</v>
      </c>
      <c r="N219" s="145">
        <f t="shared" ref="N219:P219" si="201">IF(N$20, $H172, $H169)</f>
        <v>2.4378455935015281E-2</v>
      </c>
      <c r="O219" s="145">
        <f t="shared" si="201"/>
        <v>2.4378455935015281E-2</v>
      </c>
      <c r="P219" s="145">
        <f t="shared" si="201"/>
        <v>2.4378455935015281E-2</v>
      </c>
      <c r="Q219" s="145">
        <f t="shared" ref="Q219:S219" si="202">IF(Q$20, $H172, $H169)</f>
        <v>2.4378455935015281E-2</v>
      </c>
      <c r="R219" s="145">
        <f t="shared" si="202"/>
        <v>2.4378455935015281E-2</v>
      </c>
      <c r="S219" s="145">
        <f t="shared" si="202"/>
        <v>2.4378455935015281E-2</v>
      </c>
      <c r="T219" s="145">
        <f t="shared" ref="T219:U219" si="203">IF(T$20, $H172, $H169)</f>
        <v>2.4378455935015281E-2</v>
      </c>
      <c r="U219" s="145">
        <f t="shared" si="203"/>
        <v>2.4378455935015281E-2</v>
      </c>
      <c r="V219" s="145">
        <f t="shared" ref="V219:W219" si="204">IF(V$20, $H172, $H169)</f>
        <v>2.4378455935015281E-2</v>
      </c>
      <c r="W219" s="145">
        <f t="shared" si="204"/>
        <v>2.4378455935015281E-2</v>
      </c>
      <c r="X219" s="145">
        <f t="shared" ref="X219:Y219" si="205">IF(X$20, $H172, $H169)</f>
        <v>2.4378455935015281E-2</v>
      </c>
      <c r="Y219" s="145">
        <f t="shared" si="205"/>
        <v>2.4378455935015281E-2</v>
      </c>
    </row>
    <row r="220" spans="3:27" x14ac:dyDescent="0.35">
      <c r="D220" s="24"/>
      <c r="E220" s="62"/>
      <c r="G220" s="23"/>
      <c r="H220" s="21"/>
      <c r="J220" s="135"/>
      <c r="K220" s="135"/>
      <c r="L220" s="135"/>
      <c r="M220" s="135"/>
      <c r="N220" s="135"/>
      <c r="O220" s="135"/>
      <c r="P220" s="135"/>
      <c r="Q220" s="135"/>
      <c r="R220" s="135"/>
      <c r="S220" s="135"/>
      <c r="T220" s="135"/>
      <c r="U220" s="135"/>
      <c r="V220" s="135"/>
      <c r="W220" s="135"/>
      <c r="X220" s="135"/>
      <c r="Y220" s="135"/>
    </row>
    <row r="221" spans="3:27" x14ac:dyDescent="0.35">
      <c r="C221" s="26" t="str">
        <f ca="1">INDEX('Version control'!$H$38:$H$61,MATCH($A$1,'Version control'!$F$38:$F$61,0),1)&amp;"-J: Ratio of coincidence factor to load factor, based on uniform distribution in timebands and peaking probabilities"</f>
        <v>Section 105-J: Ratio of coincidence factor to load factor, based on uniform distribution in timebands and peaking probabilities</v>
      </c>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row>
    <row r="222" spans="3:27" x14ac:dyDescent="0.35">
      <c r="D222" s="24"/>
      <c r="E222" s="62"/>
      <c r="G222" s="23"/>
      <c r="H222" s="21"/>
      <c r="J222" s="135"/>
      <c r="K222" s="135"/>
      <c r="L222" s="135"/>
      <c r="M222" s="135"/>
      <c r="N222" s="135"/>
      <c r="O222" s="135"/>
      <c r="P222" s="135"/>
      <c r="Q222" s="135"/>
      <c r="R222" s="135"/>
      <c r="S222" s="135"/>
      <c r="T222" s="135"/>
      <c r="U222" s="135"/>
      <c r="V222" s="135"/>
      <c r="W222" s="135"/>
      <c r="X222" s="135"/>
      <c r="Y222" s="135"/>
    </row>
    <row r="223" spans="3:27" x14ac:dyDescent="0.35">
      <c r="E223" s="27" t="s">
        <v>487</v>
      </c>
      <c r="G223" s="23"/>
    </row>
    <row r="224" spans="3:27" x14ac:dyDescent="0.35">
      <c r="F224" s="54" t="s">
        <v>464</v>
      </c>
      <c r="G224" s="54" t="s">
        <v>488</v>
      </c>
      <c r="H224" s="19"/>
      <c r="I224" s="19"/>
      <c r="J224" s="148">
        <f t="shared" ref="J224:Y224" si="206">1 / J24</f>
        <v>1.277139208173691E-3</v>
      </c>
      <c r="K224" s="148">
        <f t="shared" si="206"/>
        <v>1.277139208173691E-3</v>
      </c>
      <c r="L224" s="148">
        <f t="shared" si="206"/>
        <v>1.277139208173691E-3</v>
      </c>
      <c r="M224" s="148">
        <f t="shared" si="206"/>
        <v>1.277139208173691E-3</v>
      </c>
      <c r="N224" s="148">
        <f t="shared" si="206"/>
        <v>1.277139208173691E-3</v>
      </c>
      <c r="O224" s="148">
        <f t="shared" si="206"/>
        <v>1.277139208173691E-3</v>
      </c>
      <c r="P224" s="148">
        <f t="shared" si="206"/>
        <v>1.277139208173691E-3</v>
      </c>
      <c r="Q224" s="148">
        <f t="shared" si="206"/>
        <v>3.875968992248062E-3</v>
      </c>
      <c r="R224" s="148">
        <f t="shared" si="206"/>
        <v>1.277139208173691E-3</v>
      </c>
      <c r="S224" s="148">
        <f t="shared" si="206"/>
        <v>1.277139208173691E-3</v>
      </c>
      <c r="T224" s="148">
        <f t="shared" si="206"/>
        <v>1.277139208173691E-3</v>
      </c>
      <c r="U224" s="148">
        <f t="shared" si="206"/>
        <v>1.277139208173691E-3</v>
      </c>
      <c r="V224" s="148">
        <f t="shared" si="206"/>
        <v>1.277139208173691E-3</v>
      </c>
      <c r="W224" s="148">
        <f t="shared" si="206"/>
        <v>1.277139208173691E-3</v>
      </c>
      <c r="X224" s="148">
        <f t="shared" si="206"/>
        <v>1.277139208173691E-3</v>
      </c>
      <c r="Y224" s="148">
        <f t="shared" si="206"/>
        <v>1.277139208173691E-3</v>
      </c>
    </row>
    <row r="225" spans="5:25" x14ac:dyDescent="0.35">
      <c r="F225" s="23" t="s">
        <v>465</v>
      </c>
      <c r="G225" s="23" t="s">
        <v>488</v>
      </c>
      <c r="J225" s="79">
        <f t="shared" ref="J225:Y225" si="207">1 / J25</f>
        <v>2.2831050228310502E-4</v>
      </c>
      <c r="K225" s="79">
        <f t="shared" si="207"/>
        <v>2.2831050228310502E-4</v>
      </c>
      <c r="L225" s="79">
        <f t="shared" si="207"/>
        <v>2.2831050228310502E-4</v>
      </c>
      <c r="M225" s="79">
        <f t="shared" si="207"/>
        <v>2.2831050228310502E-4</v>
      </c>
      <c r="N225" s="79">
        <f t="shared" si="207"/>
        <v>2.2831050228310502E-4</v>
      </c>
      <c r="O225" s="79">
        <f t="shared" si="207"/>
        <v>2.2831050228310502E-4</v>
      </c>
      <c r="P225" s="79">
        <f t="shared" si="207"/>
        <v>2.2831050228310502E-4</v>
      </c>
      <c r="Q225" s="79">
        <f t="shared" si="207"/>
        <v>2.0387359836901122E-4</v>
      </c>
      <c r="R225" s="79">
        <f t="shared" si="207"/>
        <v>2.2831050228310502E-4</v>
      </c>
      <c r="S225" s="79">
        <f t="shared" si="207"/>
        <v>2.2831050228310502E-4</v>
      </c>
      <c r="T225" s="79">
        <f t="shared" si="207"/>
        <v>2.2831050228310502E-4</v>
      </c>
      <c r="U225" s="79">
        <f t="shared" si="207"/>
        <v>2.2831050228310502E-4</v>
      </c>
      <c r="V225" s="79">
        <f t="shared" si="207"/>
        <v>2.2831050228310502E-4</v>
      </c>
      <c r="W225" s="79">
        <f t="shared" si="207"/>
        <v>2.2831050228310502E-4</v>
      </c>
      <c r="X225" s="79">
        <f t="shared" si="207"/>
        <v>2.2831050228310502E-4</v>
      </c>
      <c r="Y225" s="79">
        <f t="shared" si="207"/>
        <v>2.2831050228310502E-4</v>
      </c>
    </row>
    <row r="226" spans="5:25" x14ac:dyDescent="0.35">
      <c r="F226" s="57" t="s">
        <v>257</v>
      </c>
      <c r="G226" s="57" t="s">
        <v>488</v>
      </c>
      <c r="H226" s="28"/>
      <c r="I226" s="28"/>
      <c r="J226" s="72">
        <f t="shared" ref="J226:Y226" si="208">1 / J26</f>
        <v>2.7800945232137893E-4</v>
      </c>
      <c r="K226" s="72">
        <f t="shared" si="208"/>
        <v>2.7800945232137893E-4</v>
      </c>
      <c r="L226" s="72">
        <f t="shared" si="208"/>
        <v>2.7800945232137893E-4</v>
      </c>
      <c r="M226" s="72">
        <f t="shared" si="208"/>
        <v>2.7800945232137893E-4</v>
      </c>
      <c r="N226" s="72">
        <f t="shared" si="208"/>
        <v>2.7800945232137893E-4</v>
      </c>
      <c r="O226" s="72">
        <f t="shared" si="208"/>
        <v>2.7800945232137893E-4</v>
      </c>
      <c r="P226" s="72">
        <f t="shared" si="208"/>
        <v>2.7800945232137893E-4</v>
      </c>
      <c r="Q226" s="72">
        <f t="shared" si="208"/>
        <v>2.7800945232137893E-4</v>
      </c>
      <c r="R226" s="72">
        <f t="shared" si="208"/>
        <v>2.7800945232137893E-4</v>
      </c>
      <c r="S226" s="72">
        <f t="shared" si="208"/>
        <v>2.7800945232137893E-4</v>
      </c>
      <c r="T226" s="72">
        <f t="shared" si="208"/>
        <v>2.7800945232137893E-4</v>
      </c>
      <c r="U226" s="72">
        <f t="shared" si="208"/>
        <v>2.7800945232137893E-4</v>
      </c>
      <c r="V226" s="72">
        <f t="shared" si="208"/>
        <v>2.7800945232137893E-4</v>
      </c>
      <c r="W226" s="72">
        <f t="shared" si="208"/>
        <v>2.7800945232137893E-4</v>
      </c>
      <c r="X226" s="72">
        <f t="shared" si="208"/>
        <v>2.7800945232137893E-4</v>
      </c>
      <c r="Y226" s="72">
        <f t="shared" si="208"/>
        <v>2.7800945232137893E-4</v>
      </c>
    </row>
    <row r="227" spans="5:25" x14ac:dyDescent="0.35">
      <c r="G227" s="23"/>
      <c r="J227" s="79"/>
      <c r="K227" s="79"/>
      <c r="L227" s="79"/>
      <c r="M227" s="79"/>
      <c r="N227" s="79"/>
      <c r="O227" s="79"/>
      <c r="P227" s="79"/>
      <c r="Q227" s="79"/>
      <c r="R227" s="79"/>
      <c r="S227" s="79"/>
      <c r="T227" s="79"/>
      <c r="U227" s="79"/>
      <c r="V227" s="79"/>
      <c r="W227" s="79"/>
      <c r="X227" s="79"/>
      <c r="Y227" s="79"/>
    </row>
    <row r="228" spans="5:25" x14ac:dyDescent="0.35">
      <c r="E228" s="27" t="s">
        <v>156</v>
      </c>
      <c r="G228" s="23"/>
      <c r="J228" s="79"/>
      <c r="K228" s="79"/>
      <c r="L228" s="79"/>
      <c r="M228" s="79"/>
      <c r="N228" s="79"/>
      <c r="O228" s="79"/>
      <c r="P228" s="79"/>
      <c r="Q228" s="79"/>
      <c r="R228" s="79"/>
      <c r="S228" s="79"/>
      <c r="T228" s="79"/>
      <c r="U228" s="79"/>
      <c r="V228" s="79"/>
      <c r="W228" s="79"/>
      <c r="X228" s="79"/>
      <c r="Y228" s="79"/>
    </row>
    <row r="229" spans="5:25" x14ac:dyDescent="0.35">
      <c r="F229" s="149" t="s">
        <v>191</v>
      </c>
      <c r="G229" s="54" t="s">
        <v>283</v>
      </c>
      <c r="H229" s="19"/>
      <c r="I229" s="19"/>
      <c r="J229" s="143">
        <f>J177 * J$224 * hours_in_year</f>
        <v>9.830576642437304</v>
      </c>
      <c r="K229" s="143">
        <f t="shared" ref="K229:Y229" si="209">K177 * K$224 * hours_in_year</f>
        <v>9.830576642437304</v>
      </c>
      <c r="L229" s="143">
        <f t="shared" si="209"/>
        <v>9.830576642437304</v>
      </c>
      <c r="M229" s="143">
        <f t="shared" si="209"/>
        <v>9.830576642437304</v>
      </c>
      <c r="N229" s="143">
        <f t="shared" si="209"/>
        <v>9.830576642437304</v>
      </c>
      <c r="O229" s="143">
        <f t="shared" si="209"/>
        <v>9.830576642437304</v>
      </c>
      <c r="P229" s="143">
        <f t="shared" si="209"/>
        <v>9.830576642437304</v>
      </c>
      <c r="Q229" s="143">
        <f t="shared" si="209"/>
        <v>24.515061547730465</v>
      </c>
      <c r="R229" s="143">
        <f t="shared" si="209"/>
        <v>9.830576642437304</v>
      </c>
      <c r="S229" s="143">
        <f t="shared" si="209"/>
        <v>9.830576642437304</v>
      </c>
      <c r="T229" s="143">
        <f t="shared" si="209"/>
        <v>9.830576642437304</v>
      </c>
      <c r="U229" s="143">
        <f t="shared" si="209"/>
        <v>9.830576642437304</v>
      </c>
      <c r="V229" s="143">
        <f t="shared" si="209"/>
        <v>9.830576642437304</v>
      </c>
      <c r="W229" s="143">
        <f t="shared" si="209"/>
        <v>9.830576642437304</v>
      </c>
      <c r="X229" s="143">
        <f t="shared" si="209"/>
        <v>9.830576642437304</v>
      </c>
      <c r="Y229" s="143">
        <f t="shared" si="209"/>
        <v>9.830576642437304</v>
      </c>
    </row>
    <row r="230" spans="5:25" x14ac:dyDescent="0.35">
      <c r="F230" s="150" t="s">
        <v>192</v>
      </c>
      <c r="G230" s="23" t="s">
        <v>283</v>
      </c>
      <c r="J230" s="143">
        <f t="shared" ref="J230:Y230" si="210">J182 * J224 * hours_in_year</f>
        <v>8.3192532483703445</v>
      </c>
      <c r="K230" s="143">
        <f t="shared" si="210"/>
        <v>8.3192532483703445</v>
      </c>
      <c r="L230" s="143">
        <f t="shared" si="210"/>
        <v>8.3192532483703445</v>
      </c>
      <c r="M230" s="143">
        <f t="shared" si="210"/>
        <v>8.3192532483703445</v>
      </c>
      <c r="N230" s="143">
        <f t="shared" si="210"/>
        <v>8.3192532483703445</v>
      </c>
      <c r="O230" s="143">
        <f t="shared" si="210"/>
        <v>8.3192532483703445</v>
      </c>
      <c r="P230" s="143">
        <f t="shared" si="210"/>
        <v>8.3192532483703445</v>
      </c>
      <c r="Q230" s="143">
        <f t="shared" si="210"/>
        <v>23.754030468249525</v>
      </c>
      <c r="R230" s="143">
        <f t="shared" si="210"/>
        <v>8.3192532483703445</v>
      </c>
      <c r="S230" s="143">
        <f t="shared" si="210"/>
        <v>8.3192532483703445</v>
      </c>
      <c r="T230" s="143">
        <f t="shared" si="210"/>
        <v>8.3192532483703445</v>
      </c>
      <c r="U230" s="143">
        <f t="shared" si="210"/>
        <v>8.3192532483703445</v>
      </c>
      <c r="V230" s="143">
        <f t="shared" si="210"/>
        <v>8.3192532483703445</v>
      </c>
      <c r="W230" s="143">
        <f t="shared" si="210"/>
        <v>8.3192532483703445</v>
      </c>
      <c r="X230" s="143">
        <f t="shared" si="210"/>
        <v>8.3192532483703445</v>
      </c>
      <c r="Y230" s="143">
        <f t="shared" si="210"/>
        <v>8.3192532483703445</v>
      </c>
    </row>
    <row r="231" spans="5:25" x14ac:dyDescent="0.35">
      <c r="F231" s="150" t="s">
        <v>193</v>
      </c>
      <c r="G231" s="23" t="s">
        <v>283</v>
      </c>
      <c r="J231" s="143">
        <f t="shared" ref="J231:Y231" si="211">J187 * J224 * hours_in_year</f>
        <v>8.3192532483703445</v>
      </c>
      <c r="K231" s="143">
        <f t="shared" si="211"/>
        <v>8.3192532483703445</v>
      </c>
      <c r="L231" s="143">
        <f t="shared" si="211"/>
        <v>8.3192532483703445</v>
      </c>
      <c r="M231" s="143">
        <f t="shared" si="211"/>
        <v>8.3192532483703445</v>
      </c>
      <c r="N231" s="143">
        <f t="shared" si="211"/>
        <v>8.3192532483703445</v>
      </c>
      <c r="O231" s="143">
        <f t="shared" si="211"/>
        <v>8.3192532483703445</v>
      </c>
      <c r="P231" s="143">
        <f t="shared" si="211"/>
        <v>8.3192532483703445</v>
      </c>
      <c r="Q231" s="143">
        <f t="shared" si="211"/>
        <v>23.754030468249525</v>
      </c>
      <c r="R231" s="143">
        <f t="shared" si="211"/>
        <v>8.3192532483703445</v>
      </c>
      <c r="S231" s="143">
        <f t="shared" si="211"/>
        <v>8.3192532483703445</v>
      </c>
      <c r="T231" s="143">
        <f t="shared" si="211"/>
        <v>8.3192532483703445</v>
      </c>
      <c r="U231" s="143">
        <f t="shared" si="211"/>
        <v>8.3192532483703445</v>
      </c>
      <c r="V231" s="143">
        <f t="shared" si="211"/>
        <v>8.3192532483703445</v>
      </c>
      <c r="W231" s="143">
        <f t="shared" si="211"/>
        <v>8.3192532483703445</v>
      </c>
      <c r="X231" s="143">
        <f t="shared" si="211"/>
        <v>8.3192532483703445</v>
      </c>
      <c r="Y231" s="143">
        <f t="shared" si="211"/>
        <v>8.3192532483703445</v>
      </c>
    </row>
    <row r="232" spans="5:25" x14ac:dyDescent="0.35">
      <c r="F232" s="150" t="s">
        <v>194</v>
      </c>
      <c r="G232" s="23" t="s">
        <v>283</v>
      </c>
      <c r="J232" s="143">
        <f t="shared" ref="J232:Y232" si="212">J192 * J224 * hours_in_year</f>
        <v>6.9378278007728795</v>
      </c>
      <c r="K232" s="143">
        <f t="shared" si="212"/>
        <v>6.9378278007728795</v>
      </c>
      <c r="L232" s="143">
        <f t="shared" si="212"/>
        <v>6.9378278007728795</v>
      </c>
      <c r="M232" s="143">
        <f t="shared" si="212"/>
        <v>6.9378278007728795</v>
      </c>
      <c r="N232" s="143">
        <f t="shared" si="212"/>
        <v>6.9378278007728795</v>
      </c>
      <c r="O232" s="143">
        <f t="shared" si="212"/>
        <v>6.9378278007728795</v>
      </c>
      <c r="P232" s="143">
        <f t="shared" si="212"/>
        <v>6.9378278007728795</v>
      </c>
      <c r="Q232" s="143">
        <f t="shared" si="212"/>
        <v>19.772286024710944</v>
      </c>
      <c r="R232" s="143">
        <f t="shared" si="212"/>
        <v>6.9378278007728795</v>
      </c>
      <c r="S232" s="143">
        <f t="shared" si="212"/>
        <v>6.9378278007728795</v>
      </c>
      <c r="T232" s="143">
        <f t="shared" si="212"/>
        <v>6.9378278007728795</v>
      </c>
      <c r="U232" s="143">
        <f t="shared" si="212"/>
        <v>6.9378278007728795</v>
      </c>
      <c r="V232" s="143">
        <f t="shared" si="212"/>
        <v>6.9378278007728795</v>
      </c>
      <c r="W232" s="143">
        <f t="shared" si="212"/>
        <v>6.9378278007728795</v>
      </c>
      <c r="X232" s="143">
        <f t="shared" si="212"/>
        <v>6.9378278007728795</v>
      </c>
      <c r="Y232" s="143">
        <f t="shared" si="212"/>
        <v>6.9378278007728795</v>
      </c>
    </row>
    <row r="233" spans="5:25" x14ac:dyDescent="0.35">
      <c r="F233" s="150" t="s">
        <v>195</v>
      </c>
      <c r="G233" s="23" t="s">
        <v>283</v>
      </c>
      <c r="J233" s="143">
        <f t="shared" ref="J233:Y233" si="213">J197 * J224 * hours_in_year</f>
        <v>6.9378278007728795</v>
      </c>
      <c r="K233" s="143">
        <f t="shared" si="213"/>
        <v>6.9378278007728795</v>
      </c>
      <c r="L233" s="143">
        <f t="shared" si="213"/>
        <v>6.9378278007728795</v>
      </c>
      <c r="M233" s="143">
        <f t="shared" si="213"/>
        <v>6.9378278007728795</v>
      </c>
      <c r="N233" s="143">
        <f t="shared" si="213"/>
        <v>6.9378278007728795</v>
      </c>
      <c r="O233" s="143">
        <f t="shared" si="213"/>
        <v>6.9378278007728795</v>
      </c>
      <c r="P233" s="143">
        <f t="shared" si="213"/>
        <v>6.9378278007728795</v>
      </c>
      <c r="Q233" s="143">
        <f t="shared" si="213"/>
        <v>19.772286024710944</v>
      </c>
      <c r="R233" s="143">
        <f t="shared" si="213"/>
        <v>6.9378278007728795</v>
      </c>
      <c r="S233" s="143">
        <f t="shared" si="213"/>
        <v>6.9378278007728795</v>
      </c>
      <c r="T233" s="143">
        <f t="shared" si="213"/>
        <v>6.9378278007728795</v>
      </c>
      <c r="U233" s="143">
        <f t="shared" si="213"/>
        <v>6.9378278007728795</v>
      </c>
      <c r="V233" s="143">
        <f t="shared" si="213"/>
        <v>6.9378278007728795</v>
      </c>
      <c r="W233" s="143">
        <f t="shared" si="213"/>
        <v>6.9378278007728795</v>
      </c>
      <c r="X233" s="143">
        <f t="shared" si="213"/>
        <v>6.9378278007728795</v>
      </c>
      <c r="Y233" s="143">
        <f t="shared" si="213"/>
        <v>6.9378278007728795</v>
      </c>
    </row>
    <row r="234" spans="5:25" x14ac:dyDescent="0.35">
      <c r="F234" s="150" t="s">
        <v>196</v>
      </c>
      <c r="G234" s="23" t="s">
        <v>283</v>
      </c>
      <c r="J234" s="143">
        <f t="shared" ref="J234:Y234" si="214">J202 * J224 * hours_in_year</f>
        <v>0</v>
      </c>
      <c r="K234" s="143">
        <f t="shared" si="214"/>
        <v>0</v>
      </c>
      <c r="L234" s="143">
        <f t="shared" si="214"/>
        <v>0</v>
      </c>
      <c r="M234" s="143">
        <f t="shared" si="214"/>
        <v>0</v>
      </c>
      <c r="N234" s="143">
        <f t="shared" si="214"/>
        <v>0</v>
      </c>
      <c r="O234" s="143">
        <f t="shared" si="214"/>
        <v>0</v>
      </c>
      <c r="P234" s="143">
        <f t="shared" si="214"/>
        <v>0</v>
      </c>
      <c r="Q234" s="143">
        <f t="shared" si="214"/>
        <v>0</v>
      </c>
      <c r="R234" s="143">
        <f t="shared" si="214"/>
        <v>0</v>
      </c>
      <c r="S234" s="143">
        <f t="shared" si="214"/>
        <v>0</v>
      </c>
      <c r="T234" s="143">
        <f t="shared" si="214"/>
        <v>0</v>
      </c>
      <c r="U234" s="143">
        <f t="shared" si="214"/>
        <v>0</v>
      </c>
      <c r="V234" s="143">
        <f t="shared" si="214"/>
        <v>0</v>
      </c>
      <c r="W234" s="143">
        <f t="shared" si="214"/>
        <v>0</v>
      </c>
      <c r="X234" s="143">
        <f t="shared" si="214"/>
        <v>0</v>
      </c>
      <c r="Y234" s="143">
        <f t="shared" si="214"/>
        <v>0</v>
      </c>
    </row>
    <row r="235" spans="5:25" x14ac:dyDescent="0.35">
      <c r="F235" s="150" t="s">
        <v>197</v>
      </c>
      <c r="G235" s="23" t="s">
        <v>283</v>
      </c>
      <c r="J235" s="143">
        <f t="shared" ref="J235:Y235" si="215">J207 * J224 * hours_in_year</f>
        <v>4.3724049617345706</v>
      </c>
      <c r="K235" s="143">
        <f t="shared" si="215"/>
        <v>4.3724049617345706</v>
      </c>
      <c r="L235" s="143">
        <f t="shared" si="215"/>
        <v>4.3724049617345706</v>
      </c>
      <c r="M235" s="143">
        <f t="shared" si="215"/>
        <v>4.3724049617345706</v>
      </c>
      <c r="N235" s="143">
        <f t="shared" si="215"/>
        <v>4.3724049617345706</v>
      </c>
      <c r="O235" s="143">
        <f t="shared" si="215"/>
        <v>4.3724049617345706</v>
      </c>
      <c r="P235" s="143">
        <f t="shared" si="215"/>
        <v>4.3724049617345706</v>
      </c>
      <c r="Q235" s="143">
        <f t="shared" si="215"/>
        <v>11.930667181700125</v>
      </c>
      <c r="R235" s="143">
        <f t="shared" si="215"/>
        <v>4.3724049617345706</v>
      </c>
      <c r="S235" s="143">
        <f t="shared" si="215"/>
        <v>4.3724049617345706</v>
      </c>
      <c r="T235" s="143">
        <f t="shared" si="215"/>
        <v>4.3724049617345706</v>
      </c>
      <c r="U235" s="143">
        <f t="shared" si="215"/>
        <v>4.3724049617345706</v>
      </c>
      <c r="V235" s="143">
        <f t="shared" si="215"/>
        <v>4.3724049617345706</v>
      </c>
      <c r="W235" s="143">
        <f t="shared" si="215"/>
        <v>4.3724049617345706</v>
      </c>
      <c r="X235" s="143">
        <f t="shared" si="215"/>
        <v>4.3724049617345706</v>
      </c>
      <c r="Y235" s="143">
        <f t="shared" si="215"/>
        <v>4.3724049617345706</v>
      </c>
    </row>
    <row r="236" spans="5:25" x14ac:dyDescent="0.35">
      <c r="F236" s="150" t="s">
        <v>198</v>
      </c>
      <c r="G236" s="23" t="s">
        <v>283</v>
      </c>
      <c r="J236" s="143">
        <f t="shared" ref="J236:Y236" si="216">J212 * J224 * hours_in_year</f>
        <v>4.3724049617345706</v>
      </c>
      <c r="K236" s="143">
        <f t="shared" si="216"/>
        <v>4.3724049617345706</v>
      </c>
      <c r="L236" s="143">
        <f t="shared" si="216"/>
        <v>4.3724049617345706</v>
      </c>
      <c r="M236" s="143">
        <f t="shared" si="216"/>
        <v>4.3724049617345706</v>
      </c>
      <c r="N236" s="143">
        <f t="shared" si="216"/>
        <v>4.3724049617345706</v>
      </c>
      <c r="O236" s="143">
        <f t="shared" si="216"/>
        <v>4.3724049617345706</v>
      </c>
      <c r="P236" s="143">
        <f t="shared" si="216"/>
        <v>4.3724049617345706</v>
      </c>
      <c r="Q236" s="143">
        <f t="shared" si="216"/>
        <v>11.930667181700125</v>
      </c>
      <c r="R236" s="143">
        <f t="shared" si="216"/>
        <v>4.3724049617345706</v>
      </c>
      <c r="S236" s="143">
        <f t="shared" si="216"/>
        <v>4.3724049617345706</v>
      </c>
      <c r="T236" s="143">
        <f t="shared" si="216"/>
        <v>4.3724049617345706</v>
      </c>
      <c r="U236" s="143">
        <f t="shared" si="216"/>
        <v>4.3724049617345706</v>
      </c>
      <c r="V236" s="143">
        <f t="shared" si="216"/>
        <v>4.3724049617345706</v>
      </c>
      <c r="W236" s="143">
        <f t="shared" si="216"/>
        <v>4.3724049617345706</v>
      </c>
      <c r="X236" s="143">
        <f t="shared" si="216"/>
        <v>4.3724049617345706</v>
      </c>
      <c r="Y236" s="143">
        <f t="shared" si="216"/>
        <v>4.3724049617345706</v>
      </c>
    </row>
    <row r="237" spans="5:25" x14ac:dyDescent="0.35">
      <c r="F237" s="151" t="s">
        <v>199</v>
      </c>
      <c r="G237" s="57" t="s">
        <v>283</v>
      </c>
      <c r="H237" s="28"/>
      <c r="I237" s="28"/>
      <c r="J237" s="143">
        <f t="shared" ref="J237:Y237" si="217">J217 * J224 * hours_in_year</f>
        <v>4.3724049617345706</v>
      </c>
      <c r="K237" s="143">
        <f t="shared" si="217"/>
        <v>4.3724049617345706</v>
      </c>
      <c r="L237" s="143">
        <f t="shared" si="217"/>
        <v>4.3724049617345706</v>
      </c>
      <c r="M237" s="143">
        <f t="shared" si="217"/>
        <v>4.3724049617345706</v>
      </c>
      <c r="N237" s="143">
        <f t="shared" si="217"/>
        <v>4.3724049617345706</v>
      </c>
      <c r="O237" s="143">
        <f t="shared" si="217"/>
        <v>4.3724049617345706</v>
      </c>
      <c r="P237" s="143">
        <f t="shared" si="217"/>
        <v>4.3724049617345706</v>
      </c>
      <c r="Q237" s="143">
        <f t="shared" si="217"/>
        <v>11.930667181700125</v>
      </c>
      <c r="R237" s="143">
        <f t="shared" si="217"/>
        <v>4.3724049617345706</v>
      </c>
      <c r="S237" s="143">
        <f t="shared" si="217"/>
        <v>4.3724049617345706</v>
      </c>
      <c r="T237" s="143">
        <f t="shared" si="217"/>
        <v>4.3724049617345706</v>
      </c>
      <c r="U237" s="143">
        <f t="shared" si="217"/>
        <v>4.3724049617345706</v>
      </c>
      <c r="V237" s="143">
        <f t="shared" si="217"/>
        <v>4.3724049617345706</v>
      </c>
      <c r="W237" s="143">
        <f t="shared" si="217"/>
        <v>4.3724049617345706</v>
      </c>
      <c r="X237" s="143">
        <f t="shared" si="217"/>
        <v>4.3724049617345706</v>
      </c>
      <c r="Y237" s="143">
        <f t="shared" si="217"/>
        <v>4.3724049617345706</v>
      </c>
    </row>
    <row r="238" spans="5:25" x14ac:dyDescent="0.35">
      <c r="G238" s="23"/>
      <c r="J238" s="88"/>
      <c r="K238" s="88"/>
      <c r="L238" s="88"/>
      <c r="M238" s="88"/>
      <c r="N238" s="88"/>
      <c r="O238" s="88"/>
      <c r="P238" s="88"/>
      <c r="Q238" s="88"/>
      <c r="R238" s="88"/>
      <c r="S238" s="88"/>
      <c r="T238" s="88"/>
      <c r="U238" s="88"/>
      <c r="V238" s="88"/>
      <c r="W238" s="88"/>
      <c r="X238" s="88"/>
      <c r="Y238" s="88"/>
    </row>
    <row r="239" spans="5:25" x14ac:dyDescent="0.35">
      <c r="E239" s="27" t="s">
        <v>157</v>
      </c>
      <c r="G239" s="23"/>
      <c r="J239" s="79"/>
      <c r="K239" s="79"/>
      <c r="L239" s="79"/>
      <c r="M239" s="79"/>
      <c r="N239" s="79"/>
      <c r="O239" s="79"/>
      <c r="P239" s="79"/>
      <c r="Q239" s="79"/>
      <c r="R239" s="79"/>
      <c r="S239" s="79"/>
      <c r="T239" s="79"/>
      <c r="U239" s="79"/>
      <c r="V239" s="79"/>
      <c r="W239" s="79"/>
      <c r="X239" s="79"/>
      <c r="Y239" s="79"/>
    </row>
    <row r="240" spans="5:25" x14ac:dyDescent="0.35">
      <c r="F240" s="54" t="s">
        <v>191</v>
      </c>
      <c r="G240" s="54" t="s">
        <v>283</v>
      </c>
      <c r="H240" s="19"/>
      <c r="I240" s="19"/>
      <c r="J240" s="143">
        <f t="shared" ref="J240:Y240" si="218">J178 * J225 * hours_in_year</f>
        <v>0.24261609337250953</v>
      </c>
      <c r="K240" s="143">
        <f t="shared" si="218"/>
        <v>0.24261609337250953</v>
      </c>
      <c r="L240" s="143">
        <f t="shared" si="218"/>
        <v>0.24261609337250953</v>
      </c>
      <c r="M240" s="143">
        <f t="shared" si="218"/>
        <v>0.24261609337250953</v>
      </c>
      <c r="N240" s="143">
        <f t="shared" si="218"/>
        <v>0.24261609337250953</v>
      </c>
      <c r="O240" s="143">
        <f t="shared" si="218"/>
        <v>0.24261609337250953</v>
      </c>
      <c r="P240" s="143">
        <f t="shared" si="218"/>
        <v>0.24261609337250953</v>
      </c>
      <c r="Q240" s="143">
        <f t="shared" si="218"/>
        <v>0.49645547822335168</v>
      </c>
      <c r="R240" s="143">
        <f t="shared" si="218"/>
        <v>0.24261609337250953</v>
      </c>
      <c r="S240" s="143">
        <f t="shared" si="218"/>
        <v>0.24261609337250953</v>
      </c>
      <c r="T240" s="143">
        <f t="shared" si="218"/>
        <v>0.24261609337250953</v>
      </c>
      <c r="U240" s="143">
        <f t="shared" si="218"/>
        <v>0.24261609337250953</v>
      </c>
      <c r="V240" s="143">
        <f t="shared" si="218"/>
        <v>0.24261609337250953</v>
      </c>
      <c r="W240" s="143">
        <f t="shared" si="218"/>
        <v>0.24261609337250953</v>
      </c>
      <c r="X240" s="143">
        <f t="shared" si="218"/>
        <v>0.24261609337250953</v>
      </c>
      <c r="Y240" s="143">
        <f t="shared" si="218"/>
        <v>0.24261609337250953</v>
      </c>
    </row>
    <row r="241" spans="5:25" x14ac:dyDescent="0.35">
      <c r="F241" s="23" t="s">
        <v>192</v>
      </c>
      <c r="G241" s="23" t="s">
        <v>283</v>
      </c>
      <c r="J241" s="143">
        <f t="shared" ref="J241:Y241" si="219">J183 * J225 * hours_in_year</f>
        <v>0.49435563606172578</v>
      </c>
      <c r="K241" s="143">
        <f t="shared" si="219"/>
        <v>0.49435563606172578</v>
      </c>
      <c r="L241" s="143">
        <f t="shared" si="219"/>
        <v>0.49435563606172578</v>
      </c>
      <c r="M241" s="143">
        <f t="shared" si="219"/>
        <v>0.49435563606172578</v>
      </c>
      <c r="N241" s="143">
        <f t="shared" si="219"/>
        <v>0.49435563606172578</v>
      </c>
      <c r="O241" s="143">
        <f t="shared" si="219"/>
        <v>0.49435563606172578</v>
      </c>
      <c r="P241" s="143">
        <f t="shared" si="219"/>
        <v>0.49435563606172578</v>
      </c>
      <c r="Q241" s="143">
        <f t="shared" si="219"/>
        <v>0.52002306189927827</v>
      </c>
      <c r="R241" s="143">
        <f t="shared" si="219"/>
        <v>0.49435563606172578</v>
      </c>
      <c r="S241" s="143">
        <f t="shared" si="219"/>
        <v>0.49435563606172578</v>
      </c>
      <c r="T241" s="143">
        <f t="shared" si="219"/>
        <v>0.49435563606172578</v>
      </c>
      <c r="U241" s="143">
        <f t="shared" si="219"/>
        <v>0.49435563606172578</v>
      </c>
      <c r="V241" s="143">
        <f t="shared" si="219"/>
        <v>0.49435563606172578</v>
      </c>
      <c r="W241" s="143">
        <f t="shared" si="219"/>
        <v>0.49435563606172578</v>
      </c>
      <c r="X241" s="143">
        <f t="shared" si="219"/>
        <v>0.49435563606172578</v>
      </c>
      <c r="Y241" s="143">
        <f t="shared" si="219"/>
        <v>0.49435563606172578</v>
      </c>
    </row>
    <row r="242" spans="5:25" x14ac:dyDescent="0.35">
      <c r="F242" s="23" t="s">
        <v>193</v>
      </c>
      <c r="G242" s="23" t="s">
        <v>283</v>
      </c>
      <c r="J242" s="143">
        <f t="shared" ref="J242:Y242" si="220">J188 * J225 * hours_in_year</f>
        <v>0.49435563606172578</v>
      </c>
      <c r="K242" s="143">
        <f t="shared" si="220"/>
        <v>0.49435563606172578</v>
      </c>
      <c r="L242" s="143">
        <f t="shared" si="220"/>
        <v>0.49435563606172578</v>
      </c>
      <c r="M242" s="143">
        <f t="shared" si="220"/>
        <v>0.49435563606172578</v>
      </c>
      <c r="N242" s="143">
        <f t="shared" si="220"/>
        <v>0.49435563606172578</v>
      </c>
      <c r="O242" s="143">
        <f t="shared" si="220"/>
        <v>0.49435563606172578</v>
      </c>
      <c r="P242" s="143">
        <f t="shared" si="220"/>
        <v>0.49435563606172578</v>
      </c>
      <c r="Q242" s="143">
        <f t="shared" si="220"/>
        <v>0.52002306189927827</v>
      </c>
      <c r="R242" s="143">
        <f t="shared" si="220"/>
        <v>0.49435563606172578</v>
      </c>
      <c r="S242" s="143">
        <f t="shared" si="220"/>
        <v>0.49435563606172578</v>
      </c>
      <c r="T242" s="143">
        <f t="shared" si="220"/>
        <v>0.49435563606172578</v>
      </c>
      <c r="U242" s="143">
        <f t="shared" si="220"/>
        <v>0.49435563606172578</v>
      </c>
      <c r="V242" s="143">
        <f t="shared" si="220"/>
        <v>0.49435563606172578</v>
      </c>
      <c r="W242" s="143">
        <f t="shared" si="220"/>
        <v>0.49435563606172578</v>
      </c>
      <c r="X242" s="143">
        <f t="shared" si="220"/>
        <v>0.49435563606172578</v>
      </c>
      <c r="Y242" s="143">
        <f t="shared" si="220"/>
        <v>0.49435563606172578</v>
      </c>
    </row>
    <row r="243" spans="5:25" x14ac:dyDescent="0.35">
      <c r="F243" s="23" t="s">
        <v>194</v>
      </c>
      <c r="G243" s="23" t="s">
        <v>283</v>
      </c>
      <c r="J243" s="143">
        <f t="shared" ref="J243:Y243" si="221">J193 * J225 * hours_in_year</f>
        <v>0.7316036826723068</v>
      </c>
      <c r="K243" s="143">
        <f t="shared" si="221"/>
        <v>0.7316036826723068</v>
      </c>
      <c r="L243" s="143">
        <f t="shared" si="221"/>
        <v>0.7316036826723068</v>
      </c>
      <c r="M243" s="143">
        <f t="shared" si="221"/>
        <v>0.7316036826723068</v>
      </c>
      <c r="N243" s="143">
        <f t="shared" si="221"/>
        <v>0.7316036826723068</v>
      </c>
      <c r="O243" s="143">
        <f t="shared" si="221"/>
        <v>0.7316036826723068</v>
      </c>
      <c r="P243" s="143">
        <f t="shared" si="221"/>
        <v>0.7316036826723068</v>
      </c>
      <c r="Q243" s="143">
        <f t="shared" si="221"/>
        <v>0.72079378261660421</v>
      </c>
      <c r="R243" s="143">
        <f t="shared" si="221"/>
        <v>0.7316036826723068</v>
      </c>
      <c r="S243" s="143">
        <f t="shared" si="221"/>
        <v>0.7316036826723068</v>
      </c>
      <c r="T243" s="143">
        <f t="shared" si="221"/>
        <v>0.7316036826723068</v>
      </c>
      <c r="U243" s="143">
        <f t="shared" si="221"/>
        <v>0.7316036826723068</v>
      </c>
      <c r="V243" s="143">
        <f t="shared" si="221"/>
        <v>0.7316036826723068</v>
      </c>
      <c r="W243" s="143">
        <f t="shared" si="221"/>
        <v>0.7316036826723068</v>
      </c>
      <c r="X243" s="143">
        <f t="shared" si="221"/>
        <v>0.7316036826723068</v>
      </c>
      <c r="Y243" s="143">
        <f t="shared" si="221"/>
        <v>0.7316036826723068</v>
      </c>
    </row>
    <row r="244" spans="5:25" x14ac:dyDescent="0.35">
      <c r="F244" s="23" t="s">
        <v>195</v>
      </c>
      <c r="G244" s="23" t="s">
        <v>283</v>
      </c>
      <c r="J244" s="143">
        <f t="shared" ref="J244:Y244" si="222">J198 * J225 * hours_in_year</f>
        <v>0.7316036826723068</v>
      </c>
      <c r="K244" s="143">
        <f t="shared" si="222"/>
        <v>0.7316036826723068</v>
      </c>
      <c r="L244" s="143">
        <f t="shared" si="222"/>
        <v>0.7316036826723068</v>
      </c>
      <c r="M244" s="143">
        <f t="shared" si="222"/>
        <v>0.7316036826723068</v>
      </c>
      <c r="N244" s="143">
        <f t="shared" si="222"/>
        <v>0.7316036826723068</v>
      </c>
      <c r="O244" s="143">
        <f t="shared" si="222"/>
        <v>0.7316036826723068</v>
      </c>
      <c r="P244" s="143">
        <f t="shared" si="222"/>
        <v>0.7316036826723068</v>
      </c>
      <c r="Q244" s="143">
        <f t="shared" si="222"/>
        <v>0.72079378261660421</v>
      </c>
      <c r="R244" s="143">
        <f t="shared" si="222"/>
        <v>0.7316036826723068</v>
      </c>
      <c r="S244" s="143">
        <f t="shared" si="222"/>
        <v>0.7316036826723068</v>
      </c>
      <c r="T244" s="143">
        <f t="shared" si="222"/>
        <v>0.7316036826723068</v>
      </c>
      <c r="U244" s="143">
        <f t="shared" si="222"/>
        <v>0.7316036826723068</v>
      </c>
      <c r="V244" s="143">
        <f t="shared" si="222"/>
        <v>0.7316036826723068</v>
      </c>
      <c r="W244" s="143">
        <f t="shared" si="222"/>
        <v>0.7316036826723068</v>
      </c>
      <c r="X244" s="143">
        <f t="shared" si="222"/>
        <v>0.7316036826723068</v>
      </c>
      <c r="Y244" s="143">
        <f t="shared" si="222"/>
        <v>0.7316036826723068</v>
      </c>
    </row>
    <row r="245" spans="5:25" x14ac:dyDescent="0.35">
      <c r="F245" s="23" t="s">
        <v>196</v>
      </c>
      <c r="G245" s="23" t="s">
        <v>283</v>
      </c>
      <c r="J245" s="143">
        <f t="shared" ref="J245:Y245" si="223">J203 * J225 * hours_in_year</f>
        <v>0</v>
      </c>
      <c r="K245" s="143">
        <f t="shared" si="223"/>
        <v>0</v>
      </c>
      <c r="L245" s="143">
        <f t="shared" si="223"/>
        <v>0</v>
      </c>
      <c r="M245" s="143">
        <f t="shared" si="223"/>
        <v>0</v>
      </c>
      <c r="N245" s="143">
        <f t="shared" si="223"/>
        <v>0</v>
      </c>
      <c r="O245" s="143">
        <f t="shared" si="223"/>
        <v>0</v>
      </c>
      <c r="P245" s="143">
        <f t="shared" si="223"/>
        <v>0</v>
      </c>
      <c r="Q245" s="143">
        <f t="shared" si="223"/>
        <v>0</v>
      </c>
      <c r="R245" s="143">
        <f t="shared" si="223"/>
        <v>0</v>
      </c>
      <c r="S245" s="143">
        <f t="shared" si="223"/>
        <v>0</v>
      </c>
      <c r="T245" s="143">
        <f t="shared" si="223"/>
        <v>0</v>
      </c>
      <c r="U245" s="143">
        <f t="shared" si="223"/>
        <v>0</v>
      </c>
      <c r="V245" s="143">
        <f t="shared" si="223"/>
        <v>0</v>
      </c>
      <c r="W245" s="143">
        <f t="shared" si="223"/>
        <v>0</v>
      </c>
      <c r="X245" s="143">
        <f t="shared" si="223"/>
        <v>0</v>
      </c>
      <c r="Y245" s="143">
        <f t="shared" si="223"/>
        <v>0</v>
      </c>
    </row>
    <row r="246" spans="5:25" x14ac:dyDescent="0.35">
      <c r="F246" s="23" t="s">
        <v>197</v>
      </c>
      <c r="G246" s="23" t="s">
        <v>283</v>
      </c>
      <c r="J246" s="143">
        <f t="shared" ref="J246:Y246" si="224">J208 * J225 * hours_in_year</f>
        <v>1.1696008312719401</v>
      </c>
      <c r="K246" s="143">
        <f t="shared" si="224"/>
        <v>1.1696008312719401</v>
      </c>
      <c r="L246" s="143">
        <f t="shared" si="224"/>
        <v>1.1696008312719401</v>
      </c>
      <c r="M246" s="143">
        <f t="shared" si="224"/>
        <v>1.1696008312719401</v>
      </c>
      <c r="N246" s="143">
        <f t="shared" si="224"/>
        <v>1.1696008312719401</v>
      </c>
      <c r="O246" s="143">
        <f t="shared" si="224"/>
        <v>1.1696008312719401</v>
      </c>
      <c r="P246" s="143">
        <f t="shared" si="224"/>
        <v>1.1696008312719401</v>
      </c>
      <c r="Q246" s="143">
        <f t="shared" si="224"/>
        <v>1.1148486428400883</v>
      </c>
      <c r="R246" s="143">
        <f t="shared" si="224"/>
        <v>1.1696008312719401</v>
      </c>
      <c r="S246" s="143">
        <f t="shared" si="224"/>
        <v>1.1696008312719401</v>
      </c>
      <c r="T246" s="143">
        <f t="shared" si="224"/>
        <v>1.1696008312719401</v>
      </c>
      <c r="U246" s="143">
        <f t="shared" si="224"/>
        <v>1.1696008312719401</v>
      </c>
      <c r="V246" s="143">
        <f t="shared" si="224"/>
        <v>1.1696008312719401</v>
      </c>
      <c r="W246" s="143">
        <f t="shared" si="224"/>
        <v>1.1696008312719401</v>
      </c>
      <c r="X246" s="143">
        <f t="shared" si="224"/>
        <v>1.1696008312719401</v>
      </c>
      <c r="Y246" s="143">
        <f t="shared" si="224"/>
        <v>1.1696008312719401</v>
      </c>
    </row>
    <row r="247" spans="5:25" x14ac:dyDescent="0.35">
      <c r="F247" s="23" t="s">
        <v>198</v>
      </c>
      <c r="G247" s="23" t="s">
        <v>283</v>
      </c>
      <c r="J247" s="143">
        <f t="shared" ref="J247:Y247" si="225">J213 * J225 * hours_in_year</f>
        <v>1.1696008312719401</v>
      </c>
      <c r="K247" s="143">
        <f t="shared" si="225"/>
        <v>1.1696008312719401</v>
      </c>
      <c r="L247" s="143">
        <f t="shared" si="225"/>
        <v>1.1696008312719401</v>
      </c>
      <c r="M247" s="143">
        <f t="shared" si="225"/>
        <v>1.1696008312719401</v>
      </c>
      <c r="N247" s="143">
        <f t="shared" si="225"/>
        <v>1.1696008312719401</v>
      </c>
      <c r="O247" s="143">
        <f t="shared" si="225"/>
        <v>1.1696008312719401</v>
      </c>
      <c r="P247" s="143">
        <f t="shared" si="225"/>
        <v>1.1696008312719401</v>
      </c>
      <c r="Q247" s="143">
        <f t="shared" si="225"/>
        <v>1.1148486428400883</v>
      </c>
      <c r="R247" s="143">
        <f t="shared" si="225"/>
        <v>1.1696008312719401</v>
      </c>
      <c r="S247" s="143">
        <f t="shared" si="225"/>
        <v>1.1696008312719401</v>
      </c>
      <c r="T247" s="143">
        <f t="shared" si="225"/>
        <v>1.1696008312719401</v>
      </c>
      <c r="U247" s="143">
        <f t="shared" si="225"/>
        <v>1.1696008312719401</v>
      </c>
      <c r="V247" s="143">
        <f t="shared" si="225"/>
        <v>1.1696008312719401</v>
      </c>
      <c r="W247" s="143">
        <f t="shared" si="225"/>
        <v>1.1696008312719401</v>
      </c>
      <c r="X247" s="143">
        <f t="shared" si="225"/>
        <v>1.1696008312719401</v>
      </c>
      <c r="Y247" s="143">
        <f t="shared" si="225"/>
        <v>1.1696008312719401</v>
      </c>
    </row>
    <row r="248" spans="5:25" x14ac:dyDescent="0.35">
      <c r="F248" s="57" t="s">
        <v>199</v>
      </c>
      <c r="G248" s="57" t="s">
        <v>283</v>
      </c>
      <c r="H248" s="28"/>
      <c r="I248" s="28"/>
      <c r="J248" s="143">
        <f t="shared" ref="J248:Y248" si="226">J218 * J225 * hours_in_year</f>
        <v>1.1696008312719401</v>
      </c>
      <c r="K248" s="143">
        <f t="shared" si="226"/>
        <v>1.1696008312719401</v>
      </c>
      <c r="L248" s="143">
        <f t="shared" si="226"/>
        <v>1.1696008312719401</v>
      </c>
      <c r="M248" s="143">
        <f t="shared" si="226"/>
        <v>1.1696008312719401</v>
      </c>
      <c r="N248" s="143">
        <f t="shared" si="226"/>
        <v>1.1696008312719401</v>
      </c>
      <c r="O248" s="143">
        <f t="shared" si="226"/>
        <v>1.1696008312719401</v>
      </c>
      <c r="P248" s="143">
        <f t="shared" si="226"/>
        <v>1.1696008312719401</v>
      </c>
      <c r="Q248" s="143">
        <f t="shared" si="226"/>
        <v>1.1148486428400883</v>
      </c>
      <c r="R248" s="143">
        <f t="shared" si="226"/>
        <v>1.1696008312719401</v>
      </c>
      <c r="S248" s="143">
        <f t="shared" si="226"/>
        <v>1.1696008312719401</v>
      </c>
      <c r="T248" s="143">
        <f t="shared" si="226"/>
        <v>1.1696008312719401</v>
      </c>
      <c r="U248" s="143">
        <f t="shared" si="226"/>
        <v>1.1696008312719401</v>
      </c>
      <c r="V248" s="143">
        <f t="shared" si="226"/>
        <v>1.1696008312719401</v>
      </c>
      <c r="W248" s="143">
        <f t="shared" si="226"/>
        <v>1.1696008312719401</v>
      </c>
      <c r="X248" s="143">
        <f t="shared" si="226"/>
        <v>1.1696008312719401</v>
      </c>
      <c r="Y248" s="143">
        <f t="shared" si="226"/>
        <v>1.1696008312719401</v>
      </c>
    </row>
    <row r="249" spans="5:25" x14ac:dyDescent="0.35">
      <c r="J249" s="79"/>
      <c r="K249" s="79"/>
      <c r="L249" s="79"/>
      <c r="M249" s="79"/>
      <c r="N249" s="79"/>
      <c r="O249" s="79"/>
      <c r="P249" s="79"/>
      <c r="Q249" s="79"/>
      <c r="R249" s="79"/>
      <c r="S249" s="79"/>
      <c r="T249" s="79"/>
      <c r="U249" s="79"/>
      <c r="V249" s="79"/>
      <c r="W249" s="79"/>
      <c r="X249" s="79"/>
      <c r="Y249" s="79"/>
    </row>
    <row r="250" spans="5:25" x14ac:dyDescent="0.35">
      <c r="E250" s="27" t="s">
        <v>158</v>
      </c>
      <c r="G250" s="23"/>
      <c r="J250" s="79"/>
      <c r="K250" s="79"/>
      <c r="L250" s="79"/>
      <c r="M250" s="79"/>
      <c r="N250" s="79"/>
      <c r="O250" s="79"/>
      <c r="P250" s="79"/>
      <c r="Q250" s="79"/>
      <c r="R250" s="79"/>
      <c r="S250" s="79"/>
      <c r="T250" s="79"/>
      <c r="U250" s="79"/>
      <c r="V250" s="79"/>
      <c r="W250" s="79"/>
      <c r="X250" s="79"/>
      <c r="Y250" s="79"/>
    </row>
    <row r="251" spans="5:25" x14ac:dyDescent="0.35">
      <c r="F251" s="54" t="s">
        <v>191</v>
      </c>
      <c r="G251" s="54" t="s">
        <v>283</v>
      </c>
      <c r="H251" s="19"/>
      <c r="I251" s="19"/>
      <c r="J251" s="143">
        <f t="shared" ref="J251:Y251" si="227">J179 * J226 * hours_in_year</f>
        <v>0</v>
      </c>
      <c r="K251" s="143">
        <f t="shared" si="227"/>
        <v>0</v>
      </c>
      <c r="L251" s="143">
        <f t="shared" si="227"/>
        <v>0</v>
      </c>
      <c r="M251" s="143">
        <f t="shared" si="227"/>
        <v>0</v>
      </c>
      <c r="N251" s="143">
        <f t="shared" si="227"/>
        <v>0</v>
      </c>
      <c r="O251" s="143">
        <f t="shared" si="227"/>
        <v>0</v>
      </c>
      <c r="P251" s="143">
        <f t="shared" si="227"/>
        <v>0</v>
      </c>
      <c r="Q251" s="143">
        <f t="shared" si="227"/>
        <v>0</v>
      </c>
      <c r="R251" s="143">
        <f t="shared" si="227"/>
        <v>0</v>
      </c>
      <c r="S251" s="143">
        <f t="shared" si="227"/>
        <v>0</v>
      </c>
      <c r="T251" s="143">
        <f t="shared" si="227"/>
        <v>0</v>
      </c>
      <c r="U251" s="143">
        <f t="shared" si="227"/>
        <v>0</v>
      </c>
      <c r="V251" s="143">
        <f t="shared" si="227"/>
        <v>0</v>
      </c>
      <c r="W251" s="143">
        <f t="shared" si="227"/>
        <v>0</v>
      </c>
      <c r="X251" s="143">
        <f t="shared" si="227"/>
        <v>0</v>
      </c>
      <c r="Y251" s="143">
        <f t="shared" si="227"/>
        <v>0</v>
      </c>
    </row>
    <row r="252" spans="5:25" x14ac:dyDescent="0.35">
      <c r="F252" s="23" t="s">
        <v>192</v>
      </c>
      <c r="G252" s="23" t="s">
        <v>283</v>
      </c>
      <c r="J252" s="143">
        <f t="shared" ref="J252:Y252" si="228">J184 * J226 * hours_in_year</f>
        <v>2.2448434966822944E-2</v>
      </c>
      <c r="K252" s="143">
        <f t="shared" si="228"/>
        <v>2.2448434966822944E-2</v>
      </c>
      <c r="L252" s="143">
        <f t="shared" si="228"/>
        <v>2.2448434966822944E-2</v>
      </c>
      <c r="M252" s="143">
        <f t="shared" si="228"/>
        <v>2.2448434966822944E-2</v>
      </c>
      <c r="N252" s="143">
        <f t="shared" si="228"/>
        <v>2.2448434966822944E-2</v>
      </c>
      <c r="O252" s="143">
        <f t="shared" si="228"/>
        <v>2.2448434966822944E-2</v>
      </c>
      <c r="P252" s="143">
        <f t="shared" si="228"/>
        <v>2.2448434966822944E-2</v>
      </c>
      <c r="Q252" s="143">
        <f t="shared" si="228"/>
        <v>2.2448434966822944E-2</v>
      </c>
      <c r="R252" s="143">
        <f t="shared" si="228"/>
        <v>2.2448434966822944E-2</v>
      </c>
      <c r="S252" s="143">
        <f t="shared" si="228"/>
        <v>2.2448434966822944E-2</v>
      </c>
      <c r="T252" s="143">
        <f t="shared" si="228"/>
        <v>2.2448434966822944E-2</v>
      </c>
      <c r="U252" s="143">
        <f t="shared" si="228"/>
        <v>2.2448434966822944E-2</v>
      </c>
      <c r="V252" s="143">
        <f t="shared" si="228"/>
        <v>2.2448434966822944E-2</v>
      </c>
      <c r="W252" s="143">
        <f t="shared" si="228"/>
        <v>2.2448434966822944E-2</v>
      </c>
      <c r="X252" s="143">
        <f t="shared" si="228"/>
        <v>2.2448434966822944E-2</v>
      </c>
      <c r="Y252" s="143">
        <f t="shared" si="228"/>
        <v>2.2448434966822944E-2</v>
      </c>
    </row>
    <row r="253" spans="5:25" x14ac:dyDescent="0.35">
      <c r="F253" s="23" t="s">
        <v>193</v>
      </c>
      <c r="G253" s="23" t="s">
        <v>283</v>
      </c>
      <c r="J253" s="143">
        <f t="shared" ref="J253:Y253" si="229">J189 * J226 * hours_in_year</f>
        <v>2.2448434966822944E-2</v>
      </c>
      <c r="K253" s="143">
        <f t="shared" si="229"/>
        <v>2.2448434966822944E-2</v>
      </c>
      <c r="L253" s="143">
        <f t="shared" si="229"/>
        <v>2.2448434966822944E-2</v>
      </c>
      <c r="M253" s="143">
        <f t="shared" si="229"/>
        <v>2.2448434966822944E-2</v>
      </c>
      <c r="N253" s="143">
        <f t="shared" si="229"/>
        <v>2.2448434966822944E-2</v>
      </c>
      <c r="O253" s="143">
        <f t="shared" si="229"/>
        <v>2.2448434966822944E-2</v>
      </c>
      <c r="P253" s="143">
        <f t="shared" si="229"/>
        <v>2.2448434966822944E-2</v>
      </c>
      <c r="Q253" s="143">
        <f t="shared" si="229"/>
        <v>2.2448434966822944E-2</v>
      </c>
      <c r="R253" s="143">
        <f t="shared" si="229"/>
        <v>2.2448434966822944E-2</v>
      </c>
      <c r="S253" s="143">
        <f t="shared" si="229"/>
        <v>2.2448434966822944E-2</v>
      </c>
      <c r="T253" s="143">
        <f t="shared" si="229"/>
        <v>2.2448434966822944E-2</v>
      </c>
      <c r="U253" s="143">
        <f t="shared" si="229"/>
        <v>2.2448434966822944E-2</v>
      </c>
      <c r="V253" s="143">
        <f t="shared" si="229"/>
        <v>2.2448434966822944E-2</v>
      </c>
      <c r="W253" s="143">
        <f t="shared" si="229"/>
        <v>2.2448434966822944E-2</v>
      </c>
      <c r="X253" s="143">
        <f t="shared" si="229"/>
        <v>2.2448434966822944E-2</v>
      </c>
      <c r="Y253" s="143">
        <f t="shared" si="229"/>
        <v>2.2448434966822944E-2</v>
      </c>
    </row>
    <row r="254" spans="5:25" x14ac:dyDescent="0.35">
      <c r="F254" s="23" t="s">
        <v>194</v>
      </c>
      <c r="G254" s="23" t="s">
        <v>283</v>
      </c>
      <c r="J254" s="143">
        <f t="shared" ref="J254:Y254" si="230">J194 * J226 * hours_in_year</f>
        <v>3.4266528187415331E-2</v>
      </c>
      <c r="K254" s="143">
        <f t="shared" si="230"/>
        <v>3.4266528187415331E-2</v>
      </c>
      <c r="L254" s="143">
        <f t="shared" si="230"/>
        <v>3.4266528187415331E-2</v>
      </c>
      <c r="M254" s="143">
        <f t="shared" si="230"/>
        <v>3.4266528187415331E-2</v>
      </c>
      <c r="N254" s="143">
        <f t="shared" si="230"/>
        <v>3.4266528187415331E-2</v>
      </c>
      <c r="O254" s="143">
        <f t="shared" si="230"/>
        <v>3.4266528187415331E-2</v>
      </c>
      <c r="P254" s="143">
        <f t="shared" si="230"/>
        <v>3.4266528187415331E-2</v>
      </c>
      <c r="Q254" s="143">
        <f t="shared" si="230"/>
        <v>3.4266528187415331E-2</v>
      </c>
      <c r="R254" s="143">
        <f t="shared" si="230"/>
        <v>3.4266528187415331E-2</v>
      </c>
      <c r="S254" s="143">
        <f t="shared" si="230"/>
        <v>3.4266528187415331E-2</v>
      </c>
      <c r="T254" s="143">
        <f t="shared" si="230"/>
        <v>3.4266528187415331E-2</v>
      </c>
      <c r="U254" s="143">
        <f t="shared" si="230"/>
        <v>3.4266528187415331E-2</v>
      </c>
      <c r="V254" s="143">
        <f t="shared" si="230"/>
        <v>3.4266528187415331E-2</v>
      </c>
      <c r="W254" s="143">
        <f t="shared" si="230"/>
        <v>3.4266528187415331E-2</v>
      </c>
      <c r="X254" s="143">
        <f t="shared" si="230"/>
        <v>3.4266528187415331E-2</v>
      </c>
      <c r="Y254" s="143">
        <f t="shared" si="230"/>
        <v>3.4266528187415331E-2</v>
      </c>
    </row>
    <row r="255" spans="5:25" x14ac:dyDescent="0.35">
      <c r="F255" s="23" t="s">
        <v>195</v>
      </c>
      <c r="G255" s="23" t="s">
        <v>283</v>
      </c>
      <c r="J255" s="143">
        <f t="shared" ref="J255:Y255" si="231">J199 * J226 * hours_in_year</f>
        <v>3.4266528187415331E-2</v>
      </c>
      <c r="K255" s="143">
        <f t="shared" si="231"/>
        <v>3.4266528187415331E-2</v>
      </c>
      <c r="L255" s="143">
        <f t="shared" si="231"/>
        <v>3.4266528187415331E-2</v>
      </c>
      <c r="M255" s="143">
        <f t="shared" si="231"/>
        <v>3.4266528187415331E-2</v>
      </c>
      <c r="N255" s="143">
        <f t="shared" si="231"/>
        <v>3.4266528187415331E-2</v>
      </c>
      <c r="O255" s="143">
        <f t="shared" si="231"/>
        <v>3.4266528187415331E-2</v>
      </c>
      <c r="P255" s="143">
        <f t="shared" si="231"/>
        <v>3.4266528187415331E-2</v>
      </c>
      <c r="Q255" s="143">
        <f t="shared" si="231"/>
        <v>3.4266528187415331E-2</v>
      </c>
      <c r="R255" s="143">
        <f t="shared" si="231"/>
        <v>3.4266528187415331E-2</v>
      </c>
      <c r="S255" s="143">
        <f t="shared" si="231"/>
        <v>3.4266528187415331E-2</v>
      </c>
      <c r="T255" s="143">
        <f t="shared" si="231"/>
        <v>3.4266528187415331E-2</v>
      </c>
      <c r="U255" s="143">
        <f t="shared" si="231"/>
        <v>3.4266528187415331E-2</v>
      </c>
      <c r="V255" s="143">
        <f t="shared" si="231"/>
        <v>3.4266528187415331E-2</v>
      </c>
      <c r="W255" s="143">
        <f t="shared" si="231"/>
        <v>3.4266528187415331E-2</v>
      </c>
      <c r="X255" s="143">
        <f t="shared" si="231"/>
        <v>3.4266528187415331E-2</v>
      </c>
      <c r="Y255" s="143">
        <f t="shared" si="231"/>
        <v>3.4266528187415331E-2</v>
      </c>
    </row>
    <row r="256" spans="5:25" x14ac:dyDescent="0.35">
      <c r="F256" s="23" t="s">
        <v>196</v>
      </c>
      <c r="G256" s="23" t="s">
        <v>283</v>
      </c>
      <c r="J256" s="143">
        <f t="shared" ref="J256:Y256" si="232">J204 * J226 * hours_in_year</f>
        <v>0</v>
      </c>
      <c r="K256" s="143">
        <f t="shared" si="232"/>
        <v>0</v>
      </c>
      <c r="L256" s="143">
        <f t="shared" si="232"/>
        <v>0</v>
      </c>
      <c r="M256" s="143">
        <f t="shared" si="232"/>
        <v>0</v>
      </c>
      <c r="N256" s="143">
        <f t="shared" si="232"/>
        <v>0</v>
      </c>
      <c r="O256" s="143">
        <f t="shared" si="232"/>
        <v>0</v>
      </c>
      <c r="P256" s="143">
        <f t="shared" si="232"/>
        <v>0</v>
      </c>
      <c r="Q256" s="143">
        <f t="shared" si="232"/>
        <v>0</v>
      </c>
      <c r="R256" s="143">
        <f t="shared" si="232"/>
        <v>0</v>
      </c>
      <c r="S256" s="143">
        <f t="shared" si="232"/>
        <v>0</v>
      </c>
      <c r="T256" s="143">
        <f t="shared" si="232"/>
        <v>0</v>
      </c>
      <c r="U256" s="143">
        <f t="shared" si="232"/>
        <v>0</v>
      </c>
      <c r="V256" s="143">
        <f t="shared" si="232"/>
        <v>0</v>
      </c>
      <c r="W256" s="143">
        <f t="shared" si="232"/>
        <v>0</v>
      </c>
      <c r="X256" s="143">
        <f t="shared" si="232"/>
        <v>0</v>
      </c>
      <c r="Y256" s="143">
        <f t="shared" si="232"/>
        <v>0</v>
      </c>
    </row>
    <row r="257" spans="2:27" x14ac:dyDescent="0.35">
      <c r="F257" s="23" t="s">
        <v>197</v>
      </c>
      <c r="G257" s="23" t="s">
        <v>283</v>
      </c>
      <c r="J257" s="143">
        <f t="shared" ref="J257:Y257" si="233">J209 * J226 * hours_in_year</f>
        <v>5.9370384762505939E-2</v>
      </c>
      <c r="K257" s="143">
        <f t="shared" si="233"/>
        <v>5.9370384762505939E-2</v>
      </c>
      <c r="L257" s="143">
        <f t="shared" si="233"/>
        <v>5.9370384762505939E-2</v>
      </c>
      <c r="M257" s="143">
        <f t="shared" si="233"/>
        <v>5.9370384762505939E-2</v>
      </c>
      <c r="N257" s="143">
        <f t="shared" si="233"/>
        <v>5.9370384762505939E-2</v>
      </c>
      <c r="O257" s="143">
        <f t="shared" si="233"/>
        <v>5.9370384762505939E-2</v>
      </c>
      <c r="P257" s="143">
        <f t="shared" si="233"/>
        <v>5.9370384762505939E-2</v>
      </c>
      <c r="Q257" s="143">
        <f t="shared" si="233"/>
        <v>5.9370384762505939E-2</v>
      </c>
      <c r="R257" s="143">
        <f t="shared" si="233"/>
        <v>5.9370384762505939E-2</v>
      </c>
      <c r="S257" s="143">
        <f t="shared" si="233"/>
        <v>5.9370384762505939E-2</v>
      </c>
      <c r="T257" s="143">
        <f t="shared" si="233"/>
        <v>5.9370384762505939E-2</v>
      </c>
      <c r="U257" s="143">
        <f t="shared" si="233"/>
        <v>5.9370384762505939E-2</v>
      </c>
      <c r="V257" s="143">
        <f t="shared" si="233"/>
        <v>5.9370384762505939E-2</v>
      </c>
      <c r="W257" s="143">
        <f t="shared" si="233"/>
        <v>5.9370384762505939E-2</v>
      </c>
      <c r="X257" s="143">
        <f t="shared" si="233"/>
        <v>5.9370384762505939E-2</v>
      </c>
      <c r="Y257" s="143">
        <f t="shared" si="233"/>
        <v>5.9370384762505939E-2</v>
      </c>
    </row>
    <row r="258" spans="2:27" x14ac:dyDescent="0.35">
      <c r="F258" s="23" t="s">
        <v>198</v>
      </c>
      <c r="G258" s="23" t="s">
        <v>283</v>
      </c>
      <c r="J258" s="143">
        <f t="shared" ref="J258:Y258" si="234">J214 * J226 * hours_in_year</f>
        <v>5.9370384762505939E-2</v>
      </c>
      <c r="K258" s="143">
        <f t="shared" si="234"/>
        <v>5.9370384762505939E-2</v>
      </c>
      <c r="L258" s="143">
        <f t="shared" si="234"/>
        <v>5.9370384762505939E-2</v>
      </c>
      <c r="M258" s="143">
        <f t="shared" si="234"/>
        <v>5.9370384762505939E-2</v>
      </c>
      <c r="N258" s="143">
        <f t="shared" si="234"/>
        <v>5.9370384762505939E-2</v>
      </c>
      <c r="O258" s="143">
        <f t="shared" si="234"/>
        <v>5.9370384762505939E-2</v>
      </c>
      <c r="P258" s="143">
        <f t="shared" si="234"/>
        <v>5.9370384762505939E-2</v>
      </c>
      <c r="Q258" s="143">
        <f t="shared" si="234"/>
        <v>5.9370384762505939E-2</v>
      </c>
      <c r="R258" s="143">
        <f t="shared" si="234"/>
        <v>5.9370384762505939E-2</v>
      </c>
      <c r="S258" s="143">
        <f t="shared" si="234"/>
        <v>5.9370384762505939E-2</v>
      </c>
      <c r="T258" s="143">
        <f t="shared" si="234"/>
        <v>5.9370384762505939E-2</v>
      </c>
      <c r="U258" s="143">
        <f t="shared" si="234"/>
        <v>5.9370384762505939E-2</v>
      </c>
      <c r="V258" s="143">
        <f t="shared" si="234"/>
        <v>5.9370384762505939E-2</v>
      </c>
      <c r="W258" s="143">
        <f t="shared" si="234"/>
        <v>5.9370384762505939E-2</v>
      </c>
      <c r="X258" s="143">
        <f t="shared" si="234"/>
        <v>5.9370384762505939E-2</v>
      </c>
      <c r="Y258" s="143">
        <f t="shared" si="234"/>
        <v>5.9370384762505939E-2</v>
      </c>
    </row>
    <row r="259" spans="2:27" x14ac:dyDescent="0.35">
      <c r="F259" s="57" t="s">
        <v>199</v>
      </c>
      <c r="G259" s="57" t="s">
        <v>283</v>
      </c>
      <c r="H259" s="28"/>
      <c r="I259" s="28"/>
      <c r="J259" s="143">
        <f t="shared" ref="J259:Y259" si="235">J219 * J226 * hours_in_year</f>
        <v>5.9370384762505939E-2</v>
      </c>
      <c r="K259" s="143">
        <f t="shared" si="235"/>
        <v>5.9370384762505939E-2</v>
      </c>
      <c r="L259" s="143">
        <f t="shared" si="235"/>
        <v>5.9370384762505939E-2</v>
      </c>
      <c r="M259" s="143">
        <f t="shared" si="235"/>
        <v>5.9370384762505939E-2</v>
      </c>
      <c r="N259" s="143">
        <f t="shared" si="235"/>
        <v>5.9370384762505939E-2</v>
      </c>
      <c r="O259" s="143">
        <f t="shared" si="235"/>
        <v>5.9370384762505939E-2</v>
      </c>
      <c r="P259" s="143">
        <f t="shared" si="235"/>
        <v>5.9370384762505939E-2</v>
      </c>
      <c r="Q259" s="143">
        <f t="shared" si="235"/>
        <v>5.9370384762505939E-2</v>
      </c>
      <c r="R259" s="143">
        <f t="shared" si="235"/>
        <v>5.9370384762505939E-2</v>
      </c>
      <c r="S259" s="143">
        <f t="shared" si="235"/>
        <v>5.9370384762505939E-2</v>
      </c>
      <c r="T259" s="143">
        <f t="shared" si="235"/>
        <v>5.9370384762505939E-2</v>
      </c>
      <c r="U259" s="143">
        <f t="shared" si="235"/>
        <v>5.9370384762505939E-2</v>
      </c>
      <c r="V259" s="143">
        <f t="shared" si="235"/>
        <v>5.9370384762505939E-2</v>
      </c>
      <c r="W259" s="143">
        <f t="shared" si="235"/>
        <v>5.9370384762505939E-2</v>
      </c>
      <c r="X259" s="143">
        <f t="shared" si="235"/>
        <v>5.9370384762505939E-2</v>
      </c>
      <c r="Y259" s="143">
        <f t="shared" si="235"/>
        <v>5.9370384762505939E-2</v>
      </c>
    </row>
    <row r="260" spans="2:27" x14ac:dyDescent="0.35">
      <c r="J260" s="79"/>
      <c r="K260" s="79"/>
      <c r="L260" s="79"/>
      <c r="M260" s="79"/>
      <c r="N260" s="79"/>
      <c r="O260" s="79"/>
      <c r="P260" s="79"/>
      <c r="Q260" s="79"/>
      <c r="R260" s="79"/>
      <c r="S260" s="79"/>
      <c r="T260" s="79"/>
      <c r="U260" s="79"/>
      <c r="V260" s="79"/>
      <c r="W260" s="79"/>
      <c r="X260" s="79"/>
      <c r="Y260" s="79"/>
    </row>
    <row r="261" spans="2:27" x14ac:dyDescent="0.35">
      <c r="B261" s="25" t="s">
        <v>843</v>
      </c>
      <c r="C261" s="95"/>
      <c r="D261" s="94"/>
      <c r="E261" s="94"/>
      <c r="F261" s="95"/>
      <c r="G261" s="95"/>
      <c r="H261" s="95"/>
      <c r="I261" s="95"/>
      <c r="J261" s="152"/>
      <c r="K261" s="152"/>
      <c r="L261" s="152"/>
      <c r="M261" s="152"/>
      <c r="N261" s="152"/>
      <c r="O261" s="152"/>
      <c r="P261" s="152"/>
      <c r="Q261" s="152"/>
      <c r="R261" s="152"/>
      <c r="S261" s="152"/>
      <c r="T261" s="152"/>
      <c r="U261" s="152"/>
      <c r="V261" s="152"/>
      <c r="W261" s="152"/>
      <c r="X261" s="152"/>
      <c r="Y261" s="152"/>
      <c r="Z261" s="95"/>
      <c r="AA261" s="95"/>
    </row>
    <row r="262" spans="2:27" x14ac:dyDescent="0.35">
      <c r="F262" s="23"/>
      <c r="G262" s="23"/>
      <c r="J262" s="79"/>
      <c r="K262" s="79"/>
      <c r="L262" s="79"/>
      <c r="M262" s="79"/>
      <c r="N262" s="79"/>
      <c r="O262" s="79"/>
      <c r="P262" s="79"/>
      <c r="Q262" s="79"/>
      <c r="R262" s="79"/>
      <c r="S262" s="79"/>
      <c r="T262" s="79"/>
      <c r="U262" s="79"/>
      <c r="V262" s="79"/>
      <c r="W262" s="79"/>
      <c r="X262" s="79"/>
      <c r="Y262" s="79"/>
    </row>
    <row r="263" spans="2:27" x14ac:dyDescent="0.35">
      <c r="C263" s="24" t="s">
        <v>863</v>
      </c>
      <c r="F263" s="23"/>
      <c r="G263" s="23"/>
      <c r="J263" s="79"/>
      <c r="K263" s="79"/>
      <c r="L263" s="79"/>
      <c r="M263" s="79"/>
      <c r="N263" s="79"/>
      <c r="O263" s="79"/>
      <c r="P263" s="79"/>
      <c r="Q263" s="79"/>
      <c r="R263" s="79"/>
      <c r="S263" s="79"/>
      <c r="T263" s="79"/>
      <c r="U263" s="79"/>
      <c r="V263" s="79"/>
      <c r="W263" s="79"/>
      <c r="X263" s="79"/>
      <c r="Y263" s="79"/>
    </row>
    <row r="264" spans="2:27" x14ac:dyDescent="0.35">
      <c r="F264" s="23"/>
      <c r="G264" s="23"/>
      <c r="J264" s="79"/>
      <c r="K264" s="79"/>
      <c r="L264" s="79"/>
      <c r="M264" s="79"/>
      <c r="N264" s="79"/>
      <c r="O264" s="79"/>
      <c r="P264" s="79"/>
      <c r="Q264" s="79"/>
      <c r="R264" s="79"/>
      <c r="S264" s="79"/>
      <c r="T264" s="79"/>
      <c r="U264" s="79"/>
      <c r="V264" s="79"/>
      <c r="W264" s="79"/>
      <c r="X264" s="79"/>
      <c r="Y264" s="79"/>
    </row>
    <row r="265" spans="2:27" x14ac:dyDescent="0.35">
      <c r="C265" s="26" t="str">
        <f ca="1">INDEX('Version control'!$H$38:$H$61,MATCH($A$1,'Version control'!$F$38:$F$61,0),1)&amp;"-K: Load coefficient"</f>
        <v>Section 105-K: Load coefficient</v>
      </c>
      <c r="D265" s="26"/>
      <c r="E265" s="26"/>
      <c r="F265" s="26"/>
      <c r="G265" s="26"/>
      <c r="H265" s="26"/>
      <c r="I265" s="26"/>
      <c r="J265" s="80"/>
      <c r="K265" s="80"/>
      <c r="L265" s="80"/>
      <c r="M265" s="80"/>
      <c r="N265" s="80"/>
      <c r="O265" s="80"/>
      <c r="P265" s="80"/>
      <c r="Q265" s="80"/>
      <c r="R265" s="80"/>
      <c r="S265" s="80"/>
      <c r="T265" s="80"/>
      <c r="U265" s="80"/>
      <c r="V265" s="80"/>
      <c r="W265" s="80"/>
      <c r="X265" s="80"/>
      <c r="Y265" s="80"/>
      <c r="Z265" s="26"/>
      <c r="AA265" s="26"/>
    </row>
    <row r="266" spans="2:27" x14ac:dyDescent="0.35">
      <c r="F266" s="23"/>
      <c r="G266" s="23"/>
      <c r="J266" s="79"/>
      <c r="K266" s="79"/>
      <c r="L266" s="79"/>
      <c r="M266" s="79"/>
      <c r="N266" s="79"/>
      <c r="O266" s="79"/>
      <c r="P266" s="79"/>
      <c r="Q266" s="79"/>
      <c r="R266" s="79"/>
      <c r="S266" s="79"/>
      <c r="T266" s="79"/>
      <c r="U266" s="79"/>
      <c r="V266" s="79"/>
      <c r="W266" s="79"/>
      <c r="X266" s="79"/>
      <c r="Y266" s="79"/>
    </row>
    <row r="267" spans="2:27" x14ac:dyDescent="0.35">
      <c r="E267" s="23" t="s">
        <v>471</v>
      </c>
      <c r="G267" s="23" t="s">
        <v>283</v>
      </c>
      <c r="J267" s="111">
        <f>J91</f>
        <v>2.0373350157761303</v>
      </c>
      <c r="K267" s="111">
        <f t="shared" ref="K267:Y267" si="236">K91</f>
        <v>2.0373350157761303</v>
      </c>
      <c r="L267" s="111">
        <f t="shared" si="236"/>
        <v>1.4467289320630352</v>
      </c>
      <c r="M267" s="111">
        <f t="shared" si="236"/>
        <v>1.4467289320630352</v>
      </c>
      <c r="N267" s="111">
        <f t="shared" si="236"/>
        <v>1.3373268975030113</v>
      </c>
      <c r="O267" s="111">
        <f t="shared" si="236"/>
        <v>1.0839027779896677</v>
      </c>
      <c r="P267" s="111">
        <f t="shared" si="236"/>
        <v>1.1062579461997903</v>
      </c>
      <c r="Q267" s="111">
        <f t="shared" si="236"/>
        <v>1.919495480855355</v>
      </c>
      <c r="R267" s="111">
        <f t="shared" si="236"/>
        <v>1</v>
      </c>
      <c r="S267" s="111">
        <f t="shared" si="236"/>
        <v>1</v>
      </c>
      <c r="T267" s="111">
        <f t="shared" si="236"/>
        <v>1</v>
      </c>
      <c r="U267" s="111">
        <f t="shared" si="236"/>
        <v>1</v>
      </c>
      <c r="V267" s="111">
        <f t="shared" si="236"/>
        <v>1</v>
      </c>
      <c r="W267" s="111">
        <f t="shared" si="236"/>
        <v>1</v>
      </c>
      <c r="X267" s="111">
        <f t="shared" si="236"/>
        <v>1</v>
      </c>
      <c r="Y267" s="111">
        <f t="shared" si="236"/>
        <v>1</v>
      </c>
    </row>
    <row r="268" spans="2:27" x14ac:dyDescent="0.35">
      <c r="F268" s="23"/>
      <c r="G268" s="23"/>
      <c r="J268" s="79"/>
      <c r="K268" s="79"/>
      <c r="L268" s="79"/>
      <c r="M268" s="79"/>
      <c r="N268" s="79"/>
      <c r="O268" s="79"/>
      <c r="P268" s="79"/>
      <c r="Q268" s="79"/>
      <c r="R268" s="79"/>
      <c r="S268" s="79"/>
      <c r="T268" s="79"/>
      <c r="U268" s="79"/>
      <c r="V268" s="79"/>
      <c r="W268" s="79"/>
      <c r="X268" s="79"/>
      <c r="Y268" s="79"/>
    </row>
    <row r="269" spans="2:27" x14ac:dyDescent="0.35">
      <c r="C269" s="26" t="str">
        <f ca="1">INDEX('Version control'!$H$38:$H$61,MATCH($A$1,'Version control'!$F$38:$F$61,0),1)&amp;"-L: Pseudo load coefficients, by unit rate"</f>
        <v>Section 105-L: Pseudo load coefficients, by unit rate</v>
      </c>
      <c r="D269" s="26"/>
      <c r="E269" s="26"/>
      <c r="F269" s="26"/>
      <c r="G269" s="26"/>
      <c r="H269" s="26"/>
      <c r="I269" s="26"/>
      <c r="J269" s="80"/>
      <c r="K269" s="80"/>
      <c r="L269" s="80"/>
      <c r="M269" s="80"/>
      <c r="N269" s="80"/>
      <c r="O269" s="80"/>
      <c r="P269" s="80"/>
      <c r="Q269" s="80"/>
      <c r="R269" s="80"/>
      <c r="S269" s="80"/>
      <c r="T269" s="80"/>
      <c r="U269" s="80"/>
      <c r="V269" s="80"/>
      <c r="W269" s="80"/>
      <c r="X269" s="80"/>
      <c r="Y269" s="80"/>
      <c r="Z269" s="26"/>
      <c r="AA269" s="26"/>
    </row>
    <row r="270" spans="2:27" x14ac:dyDescent="0.35">
      <c r="F270" s="23"/>
      <c r="G270" s="23"/>
      <c r="J270" s="79"/>
      <c r="K270" s="79"/>
      <c r="L270" s="79"/>
      <c r="M270" s="79"/>
      <c r="N270" s="79"/>
      <c r="O270" s="79"/>
      <c r="P270" s="79"/>
      <c r="Q270" s="79"/>
      <c r="R270" s="79"/>
      <c r="S270" s="79"/>
      <c r="T270" s="79"/>
      <c r="U270" s="79"/>
      <c r="V270" s="79"/>
      <c r="W270" s="79"/>
      <c r="X270" s="79"/>
      <c r="Y270" s="79"/>
    </row>
    <row r="271" spans="2:27" x14ac:dyDescent="0.35">
      <c r="E271" s="27" t="s">
        <v>156</v>
      </c>
      <c r="G271" s="23"/>
      <c r="J271" s="79"/>
      <c r="K271" s="79"/>
      <c r="L271" s="79"/>
      <c r="M271" s="79"/>
      <c r="N271" s="79"/>
      <c r="O271" s="79"/>
      <c r="P271" s="79"/>
      <c r="Q271" s="79"/>
      <c r="R271" s="79"/>
      <c r="S271" s="79"/>
      <c r="T271" s="79"/>
      <c r="U271" s="79"/>
      <c r="V271" s="79"/>
      <c r="W271" s="79"/>
      <c r="X271" s="79"/>
      <c r="Y271" s="79"/>
    </row>
    <row r="272" spans="2:27" x14ac:dyDescent="0.35">
      <c r="F272" s="54" t="s">
        <v>191</v>
      </c>
      <c r="G272" s="54" t="s">
        <v>283</v>
      </c>
      <c r="H272" s="19"/>
      <c r="I272" s="19"/>
      <c r="J272" s="91">
        <f>J229 * J$93</f>
        <v>14.162832653707317</v>
      </c>
      <c r="K272" s="91">
        <f t="shared" ref="K272:Y272" si="237">K229 * K$93</f>
        <v>14.162832653707317</v>
      </c>
      <c r="L272" s="91">
        <f t="shared" si="237"/>
        <v>13.248132319404277</v>
      </c>
      <c r="M272" s="91">
        <f t="shared" si="237"/>
        <v>13.248132319404277</v>
      </c>
      <c r="N272" s="91">
        <f t="shared" si="237"/>
        <v>11.653597141810128</v>
      </c>
      <c r="O272" s="91">
        <f t="shared" si="237"/>
        <v>9.9074217699409211</v>
      </c>
      <c r="P272" s="91">
        <f t="shared" si="237"/>
        <v>10.2015501691212</v>
      </c>
      <c r="Q272" s="91">
        <f t="shared" si="237"/>
        <v>27.374811832433448</v>
      </c>
      <c r="R272" s="91">
        <f t="shared" si="237"/>
        <v>9.830576642437304</v>
      </c>
      <c r="S272" s="91">
        <f t="shared" si="237"/>
        <v>9.830576642437304</v>
      </c>
      <c r="T272" s="91">
        <f t="shared" si="237"/>
        <v>9.830576642437304</v>
      </c>
      <c r="U272" s="91">
        <f t="shared" si="237"/>
        <v>9.830576642437304</v>
      </c>
      <c r="V272" s="91">
        <f t="shared" si="237"/>
        <v>9.830576642437304</v>
      </c>
      <c r="W272" s="91">
        <f t="shared" si="237"/>
        <v>9.830576642437304</v>
      </c>
      <c r="X272" s="91">
        <f t="shared" si="237"/>
        <v>9.830576642437304</v>
      </c>
      <c r="Y272" s="91">
        <f t="shared" si="237"/>
        <v>9.830576642437304</v>
      </c>
    </row>
    <row r="273" spans="5:25" x14ac:dyDescent="0.35">
      <c r="F273" s="23" t="s">
        <v>192</v>
      </c>
      <c r="G273" s="23" t="s">
        <v>283</v>
      </c>
      <c r="J273" s="111">
        <f t="shared" ref="J273:Y273" si="238">J230 * J$93</f>
        <v>11.985481202786078</v>
      </c>
      <c r="K273" s="111">
        <f t="shared" si="238"/>
        <v>11.985481202786078</v>
      </c>
      <c r="L273" s="111">
        <f t="shared" si="238"/>
        <v>11.211404156828646</v>
      </c>
      <c r="M273" s="111">
        <f t="shared" si="238"/>
        <v>11.211404156828646</v>
      </c>
      <c r="N273" s="111">
        <f t="shared" si="238"/>
        <v>9.8620080391506466</v>
      </c>
      <c r="O273" s="111">
        <f t="shared" si="238"/>
        <v>8.3842844362506312</v>
      </c>
      <c r="P273" s="111">
        <f t="shared" si="238"/>
        <v>8.6331944167451056</v>
      </c>
      <c r="Q273" s="111">
        <f t="shared" si="238"/>
        <v>26.525004355553868</v>
      </c>
      <c r="R273" s="111">
        <f t="shared" si="238"/>
        <v>8.3192532483703445</v>
      </c>
      <c r="S273" s="111">
        <f t="shared" si="238"/>
        <v>8.3192532483703445</v>
      </c>
      <c r="T273" s="111">
        <f t="shared" si="238"/>
        <v>8.3192532483703445</v>
      </c>
      <c r="U273" s="111">
        <f t="shared" si="238"/>
        <v>8.3192532483703445</v>
      </c>
      <c r="V273" s="111">
        <f t="shared" si="238"/>
        <v>8.3192532483703445</v>
      </c>
      <c r="W273" s="111">
        <f t="shared" si="238"/>
        <v>8.3192532483703445</v>
      </c>
      <c r="X273" s="111">
        <f t="shared" si="238"/>
        <v>8.3192532483703445</v>
      </c>
      <c r="Y273" s="111">
        <f t="shared" si="238"/>
        <v>8.3192532483703445</v>
      </c>
    </row>
    <row r="274" spans="5:25" x14ac:dyDescent="0.35">
      <c r="F274" s="23" t="s">
        <v>193</v>
      </c>
      <c r="G274" s="23" t="s">
        <v>283</v>
      </c>
      <c r="J274" s="111">
        <f t="shared" ref="J274:Y274" si="239">J231 * J$93</f>
        <v>11.985481202786078</v>
      </c>
      <c r="K274" s="111">
        <f t="shared" si="239"/>
        <v>11.985481202786078</v>
      </c>
      <c r="L274" s="111">
        <f t="shared" si="239"/>
        <v>11.211404156828646</v>
      </c>
      <c r="M274" s="111">
        <f t="shared" si="239"/>
        <v>11.211404156828646</v>
      </c>
      <c r="N274" s="111">
        <f t="shared" si="239"/>
        <v>9.8620080391506466</v>
      </c>
      <c r="O274" s="111">
        <f t="shared" si="239"/>
        <v>8.3842844362506312</v>
      </c>
      <c r="P274" s="111">
        <f t="shared" si="239"/>
        <v>8.6331944167451056</v>
      </c>
      <c r="Q274" s="111">
        <f t="shared" si="239"/>
        <v>26.525004355553868</v>
      </c>
      <c r="R274" s="111">
        <f t="shared" si="239"/>
        <v>8.3192532483703445</v>
      </c>
      <c r="S274" s="111">
        <f t="shared" si="239"/>
        <v>8.3192532483703445</v>
      </c>
      <c r="T274" s="111">
        <f t="shared" si="239"/>
        <v>8.3192532483703445</v>
      </c>
      <c r="U274" s="111">
        <f t="shared" si="239"/>
        <v>8.3192532483703445</v>
      </c>
      <c r="V274" s="111">
        <f t="shared" si="239"/>
        <v>8.3192532483703445</v>
      </c>
      <c r="W274" s="111">
        <f t="shared" si="239"/>
        <v>8.3192532483703445</v>
      </c>
      <c r="X274" s="111">
        <f t="shared" si="239"/>
        <v>8.3192532483703445</v>
      </c>
      <c r="Y274" s="111">
        <f t="shared" si="239"/>
        <v>8.3192532483703445</v>
      </c>
    </row>
    <row r="275" spans="5:25" x14ac:dyDescent="0.35">
      <c r="F275" s="23" t="s">
        <v>194</v>
      </c>
      <c r="G275" s="23" t="s">
        <v>283</v>
      </c>
      <c r="J275" s="111">
        <f t="shared" ref="J275:Y275" si="240">J232 * J$93</f>
        <v>9.9952726779436443</v>
      </c>
      <c r="K275" s="111">
        <f t="shared" si="240"/>
        <v>9.9952726779436443</v>
      </c>
      <c r="L275" s="111">
        <f t="shared" si="240"/>
        <v>9.34973237654272</v>
      </c>
      <c r="M275" s="111">
        <f t="shared" si="240"/>
        <v>9.34973237654272</v>
      </c>
      <c r="N275" s="111">
        <f t="shared" si="240"/>
        <v>8.2244056651199955</v>
      </c>
      <c r="O275" s="111">
        <f t="shared" si="240"/>
        <v>6.9920604548012344</v>
      </c>
      <c r="P275" s="111">
        <f t="shared" si="240"/>
        <v>7.1996385307424475</v>
      </c>
      <c r="Q275" s="111">
        <f t="shared" si="240"/>
        <v>22.07877832040867</v>
      </c>
      <c r="R275" s="111">
        <f t="shared" si="240"/>
        <v>6.9378278007728795</v>
      </c>
      <c r="S275" s="111">
        <f t="shared" si="240"/>
        <v>6.9378278007728795</v>
      </c>
      <c r="T275" s="111">
        <f t="shared" si="240"/>
        <v>6.9378278007728795</v>
      </c>
      <c r="U275" s="111">
        <f t="shared" si="240"/>
        <v>6.9378278007728795</v>
      </c>
      <c r="V275" s="111">
        <f t="shared" si="240"/>
        <v>6.9378278007728795</v>
      </c>
      <c r="W275" s="111">
        <f t="shared" si="240"/>
        <v>6.9378278007728795</v>
      </c>
      <c r="X275" s="111">
        <f t="shared" si="240"/>
        <v>6.9378278007728795</v>
      </c>
      <c r="Y275" s="111">
        <f t="shared" si="240"/>
        <v>6.9378278007728795</v>
      </c>
    </row>
    <row r="276" spans="5:25" x14ac:dyDescent="0.35">
      <c r="F276" s="23" t="s">
        <v>195</v>
      </c>
      <c r="G276" s="23" t="s">
        <v>283</v>
      </c>
      <c r="J276" s="111">
        <f t="shared" ref="J276:Y276" si="241">J233 * J$93</f>
        <v>9.9952726779436443</v>
      </c>
      <c r="K276" s="111">
        <f t="shared" si="241"/>
        <v>9.9952726779436443</v>
      </c>
      <c r="L276" s="111">
        <f t="shared" si="241"/>
        <v>9.34973237654272</v>
      </c>
      <c r="M276" s="111">
        <f t="shared" si="241"/>
        <v>9.34973237654272</v>
      </c>
      <c r="N276" s="111">
        <f t="shared" si="241"/>
        <v>8.2244056651199955</v>
      </c>
      <c r="O276" s="111">
        <f t="shared" si="241"/>
        <v>6.9920604548012344</v>
      </c>
      <c r="P276" s="111">
        <f t="shared" si="241"/>
        <v>7.1996385307424475</v>
      </c>
      <c r="Q276" s="111">
        <f t="shared" si="241"/>
        <v>22.07877832040867</v>
      </c>
      <c r="R276" s="111">
        <f t="shared" si="241"/>
        <v>6.9378278007728795</v>
      </c>
      <c r="S276" s="111">
        <f t="shared" si="241"/>
        <v>6.9378278007728795</v>
      </c>
      <c r="T276" s="111">
        <f t="shared" si="241"/>
        <v>6.9378278007728795</v>
      </c>
      <c r="U276" s="111">
        <f t="shared" si="241"/>
        <v>6.9378278007728795</v>
      </c>
      <c r="V276" s="111">
        <f t="shared" si="241"/>
        <v>6.9378278007728795</v>
      </c>
      <c r="W276" s="111">
        <f t="shared" si="241"/>
        <v>6.9378278007728795</v>
      </c>
      <c r="X276" s="111">
        <f t="shared" si="241"/>
        <v>6.9378278007728795</v>
      </c>
      <c r="Y276" s="111">
        <f t="shared" si="241"/>
        <v>6.9378278007728795</v>
      </c>
    </row>
    <row r="277" spans="5:25" x14ac:dyDescent="0.35">
      <c r="F277" s="23" t="s">
        <v>196</v>
      </c>
      <c r="G277" s="23" t="s">
        <v>283</v>
      </c>
      <c r="J277" s="111">
        <f t="shared" ref="J277:Y277" si="242">J234 * J$93</f>
        <v>0</v>
      </c>
      <c r="K277" s="111">
        <f t="shared" si="242"/>
        <v>0</v>
      </c>
      <c r="L277" s="111">
        <f t="shared" si="242"/>
        <v>0</v>
      </c>
      <c r="M277" s="111">
        <f t="shared" si="242"/>
        <v>0</v>
      </c>
      <c r="N277" s="111">
        <f t="shared" si="242"/>
        <v>0</v>
      </c>
      <c r="O277" s="111">
        <f t="shared" si="242"/>
        <v>0</v>
      </c>
      <c r="P277" s="111">
        <f t="shared" si="242"/>
        <v>0</v>
      </c>
      <c r="Q277" s="111">
        <f t="shared" si="242"/>
        <v>0</v>
      </c>
      <c r="R277" s="111">
        <f t="shared" si="242"/>
        <v>0</v>
      </c>
      <c r="S277" s="111">
        <f t="shared" si="242"/>
        <v>0</v>
      </c>
      <c r="T277" s="111">
        <f t="shared" si="242"/>
        <v>0</v>
      </c>
      <c r="U277" s="111">
        <f t="shared" si="242"/>
        <v>0</v>
      </c>
      <c r="V277" s="111">
        <f t="shared" si="242"/>
        <v>0</v>
      </c>
      <c r="W277" s="111">
        <f t="shared" si="242"/>
        <v>0</v>
      </c>
      <c r="X277" s="111">
        <f t="shared" si="242"/>
        <v>0</v>
      </c>
      <c r="Y277" s="111">
        <f t="shared" si="242"/>
        <v>0</v>
      </c>
    </row>
    <row r="278" spans="5:25" x14ac:dyDescent="0.35">
      <c r="F278" s="23" t="s">
        <v>197</v>
      </c>
      <c r="G278" s="23" t="s">
        <v>283</v>
      </c>
      <c r="J278" s="111">
        <f t="shared" ref="J278:Y278" si="243">J235 * J$93</f>
        <v>6.2992886398913202</v>
      </c>
      <c r="K278" s="111">
        <f t="shared" si="243"/>
        <v>6.2992886398913202</v>
      </c>
      <c r="L278" s="111">
        <f t="shared" si="243"/>
        <v>5.8924518463158728</v>
      </c>
      <c r="M278" s="111">
        <f t="shared" si="243"/>
        <v>5.8924518463158728</v>
      </c>
      <c r="N278" s="111">
        <f t="shared" si="243"/>
        <v>5.1832408024717136</v>
      </c>
      <c r="O278" s="111">
        <f t="shared" si="243"/>
        <v>4.4065838333311236</v>
      </c>
      <c r="P278" s="111">
        <f t="shared" si="243"/>
        <v>4.5374050983229655</v>
      </c>
      <c r="Q278" s="111">
        <f t="shared" si="243"/>
        <v>13.32241277463428</v>
      </c>
      <c r="R278" s="111">
        <f t="shared" si="243"/>
        <v>4.3724049617345706</v>
      </c>
      <c r="S278" s="111">
        <f t="shared" si="243"/>
        <v>4.3724049617345706</v>
      </c>
      <c r="T278" s="111">
        <f t="shared" si="243"/>
        <v>4.3724049617345706</v>
      </c>
      <c r="U278" s="111">
        <f t="shared" si="243"/>
        <v>4.3724049617345706</v>
      </c>
      <c r="V278" s="111">
        <f t="shared" si="243"/>
        <v>4.3724049617345706</v>
      </c>
      <c r="W278" s="111">
        <f t="shared" si="243"/>
        <v>4.3724049617345706</v>
      </c>
      <c r="X278" s="111">
        <f t="shared" si="243"/>
        <v>4.3724049617345706</v>
      </c>
      <c r="Y278" s="111">
        <f t="shared" si="243"/>
        <v>4.3724049617345706</v>
      </c>
    </row>
    <row r="279" spans="5:25" x14ac:dyDescent="0.35">
      <c r="F279" s="23" t="s">
        <v>198</v>
      </c>
      <c r="G279" s="23" t="s">
        <v>283</v>
      </c>
      <c r="J279" s="111">
        <f t="shared" ref="J279:Y279" si="244">J236 * J$93</f>
        <v>6.2992886398913202</v>
      </c>
      <c r="K279" s="111">
        <f t="shared" si="244"/>
        <v>6.2992886398913202</v>
      </c>
      <c r="L279" s="111">
        <f t="shared" si="244"/>
        <v>5.8924518463158728</v>
      </c>
      <c r="M279" s="111">
        <f t="shared" si="244"/>
        <v>5.8924518463158728</v>
      </c>
      <c r="N279" s="111">
        <f t="shared" si="244"/>
        <v>5.1832408024717136</v>
      </c>
      <c r="O279" s="111">
        <f t="shared" si="244"/>
        <v>4.4065838333311236</v>
      </c>
      <c r="P279" s="111">
        <f t="shared" si="244"/>
        <v>4.5374050983229655</v>
      </c>
      <c r="Q279" s="111">
        <f t="shared" si="244"/>
        <v>13.32241277463428</v>
      </c>
      <c r="R279" s="111">
        <f t="shared" si="244"/>
        <v>4.3724049617345706</v>
      </c>
      <c r="S279" s="111">
        <f t="shared" si="244"/>
        <v>4.3724049617345706</v>
      </c>
      <c r="T279" s="111">
        <f t="shared" si="244"/>
        <v>4.3724049617345706</v>
      </c>
      <c r="U279" s="111">
        <f t="shared" si="244"/>
        <v>4.3724049617345706</v>
      </c>
      <c r="V279" s="111">
        <f t="shared" si="244"/>
        <v>4.3724049617345706</v>
      </c>
      <c r="W279" s="111">
        <f t="shared" si="244"/>
        <v>4.3724049617345706</v>
      </c>
      <c r="X279" s="111">
        <f t="shared" si="244"/>
        <v>4.3724049617345706</v>
      </c>
      <c r="Y279" s="111">
        <f t="shared" si="244"/>
        <v>4.3724049617345706</v>
      </c>
    </row>
    <row r="280" spans="5:25" x14ac:dyDescent="0.35">
      <c r="F280" s="57" t="s">
        <v>199</v>
      </c>
      <c r="G280" s="57" t="s">
        <v>283</v>
      </c>
      <c r="H280" s="28"/>
      <c r="I280" s="28"/>
      <c r="J280" s="121">
        <f t="shared" ref="J280:Y280" si="245">J237 * J$93</f>
        <v>6.2992886398913202</v>
      </c>
      <c r="K280" s="121">
        <f t="shared" si="245"/>
        <v>6.2992886398913202</v>
      </c>
      <c r="L280" s="121">
        <f t="shared" si="245"/>
        <v>5.8924518463158728</v>
      </c>
      <c r="M280" s="121">
        <f t="shared" si="245"/>
        <v>5.8924518463158728</v>
      </c>
      <c r="N280" s="121">
        <f t="shared" si="245"/>
        <v>5.1832408024717136</v>
      </c>
      <c r="O280" s="121">
        <f t="shared" si="245"/>
        <v>4.4065838333311236</v>
      </c>
      <c r="P280" s="121">
        <f t="shared" si="245"/>
        <v>4.5374050983229655</v>
      </c>
      <c r="Q280" s="121">
        <f t="shared" si="245"/>
        <v>13.32241277463428</v>
      </c>
      <c r="R280" s="121">
        <f t="shared" si="245"/>
        <v>4.3724049617345706</v>
      </c>
      <c r="S280" s="121">
        <f t="shared" si="245"/>
        <v>4.3724049617345706</v>
      </c>
      <c r="T280" s="121">
        <f t="shared" si="245"/>
        <v>4.3724049617345706</v>
      </c>
      <c r="U280" s="121">
        <f t="shared" si="245"/>
        <v>4.3724049617345706</v>
      </c>
      <c r="V280" s="121">
        <f t="shared" si="245"/>
        <v>4.3724049617345706</v>
      </c>
      <c r="W280" s="121">
        <f t="shared" si="245"/>
        <v>4.3724049617345706</v>
      </c>
      <c r="X280" s="121">
        <f t="shared" si="245"/>
        <v>4.3724049617345706</v>
      </c>
      <c r="Y280" s="121">
        <f t="shared" si="245"/>
        <v>4.3724049617345706</v>
      </c>
    </row>
    <row r="281" spans="5:25" x14ac:dyDescent="0.35">
      <c r="J281" s="79"/>
      <c r="K281" s="79"/>
      <c r="L281" s="79"/>
      <c r="M281" s="79"/>
      <c r="N281" s="79"/>
      <c r="O281" s="79"/>
      <c r="P281" s="79"/>
      <c r="Q281" s="79"/>
      <c r="R281" s="79"/>
      <c r="S281" s="79"/>
      <c r="T281" s="79"/>
      <c r="U281" s="79"/>
      <c r="V281" s="79"/>
      <c r="W281" s="79"/>
      <c r="X281" s="79"/>
      <c r="Y281" s="79"/>
    </row>
    <row r="282" spans="5:25" x14ac:dyDescent="0.35">
      <c r="E282" s="27" t="s">
        <v>157</v>
      </c>
      <c r="F282" s="23"/>
      <c r="G282" s="23"/>
      <c r="J282" s="79"/>
      <c r="K282" s="79"/>
      <c r="L282" s="79"/>
      <c r="M282" s="79"/>
      <c r="N282" s="79"/>
      <c r="O282" s="79"/>
      <c r="P282" s="79"/>
      <c r="Q282" s="79"/>
      <c r="R282" s="79"/>
      <c r="S282" s="79"/>
      <c r="T282" s="79"/>
      <c r="U282" s="79"/>
      <c r="V282" s="79"/>
      <c r="W282" s="79"/>
      <c r="X282" s="79"/>
      <c r="Y282" s="79"/>
    </row>
    <row r="283" spans="5:25" x14ac:dyDescent="0.35">
      <c r="F283" s="54" t="s">
        <v>191</v>
      </c>
      <c r="G283" s="54" t="s">
        <v>283</v>
      </c>
      <c r="H283" s="19"/>
      <c r="I283" s="19"/>
      <c r="J283" s="91">
        <f>J240 * J$93</f>
        <v>0.34953505318271522</v>
      </c>
      <c r="K283" s="91">
        <f t="shared" ref="K283:Y283" si="246">K240 * K$93</f>
        <v>0.34953505318271522</v>
      </c>
      <c r="L283" s="91">
        <f t="shared" si="246"/>
        <v>0.32696048509917797</v>
      </c>
      <c r="M283" s="91">
        <f t="shared" si="246"/>
        <v>0.32696048509917797</v>
      </c>
      <c r="N283" s="91">
        <f t="shared" si="246"/>
        <v>0.28760776861020726</v>
      </c>
      <c r="O283" s="91">
        <f t="shared" si="246"/>
        <v>0.24451261127860641</v>
      </c>
      <c r="P283" s="91">
        <f t="shared" si="246"/>
        <v>0.25177162422917698</v>
      </c>
      <c r="Q283" s="91">
        <f t="shared" si="246"/>
        <v>0.55436839402115112</v>
      </c>
      <c r="R283" s="91">
        <f t="shared" si="246"/>
        <v>0.24261609337250953</v>
      </c>
      <c r="S283" s="91">
        <f t="shared" si="246"/>
        <v>0.24261609337250953</v>
      </c>
      <c r="T283" s="91">
        <f t="shared" si="246"/>
        <v>0.24261609337250953</v>
      </c>
      <c r="U283" s="91">
        <f t="shared" si="246"/>
        <v>0.24261609337250953</v>
      </c>
      <c r="V283" s="91">
        <f t="shared" si="246"/>
        <v>0.24261609337250953</v>
      </c>
      <c r="W283" s="91">
        <f t="shared" si="246"/>
        <v>0.24261609337250953</v>
      </c>
      <c r="X283" s="91">
        <f t="shared" si="246"/>
        <v>0.24261609337250953</v>
      </c>
      <c r="Y283" s="91">
        <f t="shared" si="246"/>
        <v>0.24261609337250953</v>
      </c>
    </row>
    <row r="284" spans="5:25" x14ac:dyDescent="0.35">
      <c r="F284" s="23" t="s">
        <v>192</v>
      </c>
      <c r="G284" s="23" t="s">
        <v>283</v>
      </c>
      <c r="J284" s="111">
        <f t="shared" ref="J284:Y284" si="247">J241 * J$93</f>
        <v>0.71221418637181566</v>
      </c>
      <c r="K284" s="111">
        <f t="shared" si="247"/>
        <v>0.71221418637181566</v>
      </c>
      <c r="L284" s="111">
        <f t="shared" si="247"/>
        <v>0.66621614556328168</v>
      </c>
      <c r="M284" s="111">
        <f t="shared" si="247"/>
        <v>0.66621614556328168</v>
      </c>
      <c r="N284" s="111">
        <f t="shared" si="247"/>
        <v>0.58603087458543224</v>
      </c>
      <c r="O284" s="111">
        <f t="shared" si="247"/>
        <v>0.49821998942237222</v>
      </c>
      <c r="P284" s="111">
        <f t="shared" si="247"/>
        <v>0.51301098664962475</v>
      </c>
      <c r="Q284" s="111">
        <f t="shared" si="247"/>
        <v>0.58068520204618945</v>
      </c>
      <c r="R284" s="111">
        <f t="shared" si="247"/>
        <v>0.49435563606172578</v>
      </c>
      <c r="S284" s="111">
        <f t="shared" si="247"/>
        <v>0.49435563606172578</v>
      </c>
      <c r="T284" s="111">
        <f t="shared" si="247"/>
        <v>0.49435563606172578</v>
      </c>
      <c r="U284" s="111">
        <f t="shared" si="247"/>
        <v>0.49435563606172578</v>
      </c>
      <c r="V284" s="111">
        <f t="shared" si="247"/>
        <v>0.49435563606172578</v>
      </c>
      <c r="W284" s="111">
        <f t="shared" si="247"/>
        <v>0.49435563606172578</v>
      </c>
      <c r="X284" s="111">
        <f t="shared" si="247"/>
        <v>0.49435563606172578</v>
      </c>
      <c r="Y284" s="111">
        <f t="shared" si="247"/>
        <v>0.49435563606172578</v>
      </c>
    </row>
    <row r="285" spans="5:25" x14ac:dyDescent="0.35">
      <c r="F285" s="23" t="s">
        <v>193</v>
      </c>
      <c r="G285" s="23" t="s">
        <v>283</v>
      </c>
      <c r="J285" s="111">
        <f t="shared" ref="J285:Y285" si="248">J242 * J$93</f>
        <v>0.71221418637181566</v>
      </c>
      <c r="K285" s="111">
        <f t="shared" si="248"/>
        <v>0.71221418637181566</v>
      </c>
      <c r="L285" s="111">
        <f t="shared" si="248"/>
        <v>0.66621614556328168</v>
      </c>
      <c r="M285" s="111">
        <f t="shared" si="248"/>
        <v>0.66621614556328168</v>
      </c>
      <c r="N285" s="111">
        <f t="shared" si="248"/>
        <v>0.58603087458543224</v>
      </c>
      <c r="O285" s="111">
        <f t="shared" si="248"/>
        <v>0.49821998942237222</v>
      </c>
      <c r="P285" s="111">
        <f t="shared" si="248"/>
        <v>0.51301098664962475</v>
      </c>
      <c r="Q285" s="111">
        <f t="shared" si="248"/>
        <v>0.58068520204618945</v>
      </c>
      <c r="R285" s="111">
        <f t="shared" si="248"/>
        <v>0.49435563606172578</v>
      </c>
      <c r="S285" s="111">
        <f t="shared" si="248"/>
        <v>0.49435563606172578</v>
      </c>
      <c r="T285" s="111">
        <f t="shared" si="248"/>
        <v>0.49435563606172578</v>
      </c>
      <c r="U285" s="111">
        <f t="shared" si="248"/>
        <v>0.49435563606172578</v>
      </c>
      <c r="V285" s="111">
        <f t="shared" si="248"/>
        <v>0.49435563606172578</v>
      </c>
      <c r="W285" s="111">
        <f t="shared" si="248"/>
        <v>0.49435563606172578</v>
      </c>
      <c r="X285" s="111">
        <f t="shared" si="248"/>
        <v>0.49435563606172578</v>
      </c>
      <c r="Y285" s="111">
        <f t="shared" si="248"/>
        <v>0.49435563606172578</v>
      </c>
    </row>
    <row r="286" spans="5:25" x14ac:dyDescent="0.35">
      <c r="F286" s="23" t="s">
        <v>194</v>
      </c>
      <c r="G286" s="23" t="s">
        <v>283</v>
      </c>
      <c r="J286" s="111">
        <f t="shared" ref="J286:Y286" si="249">J243 * J$93</f>
        <v>1.0540155377858806</v>
      </c>
      <c r="K286" s="111">
        <f t="shared" si="249"/>
        <v>1.0540155377858806</v>
      </c>
      <c r="L286" s="111">
        <f t="shared" si="249"/>
        <v>0.98594240663008925</v>
      </c>
      <c r="M286" s="111">
        <f t="shared" si="249"/>
        <v>0.98594240663008925</v>
      </c>
      <c r="N286" s="111">
        <f t="shared" si="249"/>
        <v>0.86727512489175262</v>
      </c>
      <c r="O286" s="111">
        <f t="shared" si="249"/>
        <v>0.73732259218513985</v>
      </c>
      <c r="P286" s="111">
        <f t="shared" si="249"/>
        <v>0.7592119917438469</v>
      </c>
      <c r="Q286" s="111">
        <f t="shared" si="249"/>
        <v>0.80487638714266962</v>
      </c>
      <c r="R286" s="111">
        <f t="shared" si="249"/>
        <v>0.7316036826723068</v>
      </c>
      <c r="S286" s="111">
        <f t="shared" si="249"/>
        <v>0.7316036826723068</v>
      </c>
      <c r="T286" s="111">
        <f t="shared" si="249"/>
        <v>0.7316036826723068</v>
      </c>
      <c r="U286" s="111">
        <f t="shared" si="249"/>
        <v>0.7316036826723068</v>
      </c>
      <c r="V286" s="111">
        <f t="shared" si="249"/>
        <v>0.7316036826723068</v>
      </c>
      <c r="W286" s="111">
        <f t="shared" si="249"/>
        <v>0.7316036826723068</v>
      </c>
      <c r="X286" s="111">
        <f t="shared" si="249"/>
        <v>0.7316036826723068</v>
      </c>
      <c r="Y286" s="111">
        <f t="shared" si="249"/>
        <v>0.7316036826723068</v>
      </c>
    </row>
    <row r="287" spans="5:25" x14ac:dyDescent="0.35">
      <c r="F287" s="23" t="s">
        <v>195</v>
      </c>
      <c r="G287" s="23" t="s">
        <v>283</v>
      </c>
      <c r="J287" s="111">
        <f t="shared" ref="J287:Y287" si="250">J244 * J$93</f>
        <v>1.0540155377858806</v>
      </c>
      <c r="K287" s="111">
        <f t="shared" si="250"/>
        <v>1.0540155377858806</v>
      </c>
      <c r="L287" s="111">
        <f t="shared" si="250"/>
        <v>0.98594240663008925</v>
      </c>
      <c r="M287" s="111">
        <f t="shared" si="250"/>
        <v>0.98594240663008925</v>
      </c>
      <c r="N287" s="111">
        <f t="shared" si="250"/>
        <v>0.86727512489175262</v>
      </c>
      <c r="O287" s="111">
        <f t="shared" si="250"/>
        <v>0.73732259218513985</v>
      </c>
      <c r="P287" s="111">
        <f t="shared" si="250"/>
        <v>0.7592119917438469</v>
      </c>
      <c r="Q287" s="111">
        <f t="shared" si="250"/>
        <v>0.80487638714266962</v>
      </c>
      <c r="R287" s="111">
        <f t="shared" si="250"/>
        <v>0.7316036826723068</v>
      </c>
      <c r="S287" s="111">
        <f t="shared" si="250"/>
        <v>0.7316036826723068</v>
      </c>
      <c r="T287" s="111">
        <f t="shared" si="250"/>
        <v>0.7316036826723068</v>
      </c>
      <c r="U287" s="111">
        <f t="shared" si="250"/>
        <v>0.7316036826723068</v>
      </c>
      <c r="V287" s="111">
        <f t="shared" si="250"/>
        <v>0.7316036826723068</v>
      </c>
      <c r="W287" s="111">
        <f t="shared" si="250"/>
        <v>0.7316036826723068</v>
      </c>
      <c r="X287" s="111">
        <f t="shared" si="250"/>
        <v>0.7316036826723068</v>
      </c>
      <c r="Y287" s="111">
        <f t="shared" si="250"/>
        <v>0.7316036826723068</v>
      </c>
    </row>
    <row r="288" spans="5:25" x14ac:dyDescent="0.35">
      <c r="F288" s="23" t="s">
        <v>196</v>
      </c>
      <c r="G288" s="23" t="s">
        <v>283</v>
      </c>
      <c r="J288" s="111">
        <f t="shared" ref="J288:Y288" si="251">J245 * J$93</f>
        <v>0</v>
      </c>
      <c r="K288" s="111">
        <f t="shared" si="251"/>
        <v>0</v>
      </c>
      <c r="L288" s="111">
        <f t="shared" si="251"/>
        <v>0</v>
      </c>
      <c r="M288" s="111">
        <f t="shared" si="251"/>
        <v>0</v>
      </c>
      <c r="N288" s="111">
        <f t="shared" si="251"/>
        <v>0</v>
      </c>
      <c r="O288" s="111">
        <f t="shared" si="251"/>
        <v>0</v>
      </c>
      <c r="P288" s="111">
        <f t="shared" si="251"/>
        <v>0</v>
      </c>
      <c r="Q288" s="111">
        <f t="shared" si="251"/>
        <v>0</v>
      </c>
      <c r="R288" s="111">
        <f t="shared" si="251"/>
        <v>0</v>
      </c>
      <c r="S288" s="111">
        <f t="shared" si="251"/>
        <v>0</v>
      </c>
      <c r="T288" s="111">
        <f t="shared" si="251"/>
        <v>0</v>
      </c>
      <c r="U288" s="111">
        <f t="shared" si="251"/>
        <v>0</v>
      </c>
      <c r="V288" s="111">
        <f t="shared" si="251"/>
        <v>0</v>
      </c>
      <c r="W288" s="111">
        <f t="shared" si="251"/>
        <v>0</v>
      </c>
      <c r="X288" s="111">
        <f t="shared" si="251"/>
        <v>0</v>
      </c>
      <c r="Y288" s="111">
        <f t="shared" si="251"/>
        <v>0</v>
      </c>
    </row>
    <row r="289" spans="2:27" x14ac:dyDescent="0.35">
      <c r="F289" s="23" t="s">
        <v>197</v>
      </c>
      <c r="G289" s="23" t="s">
        <v>283</v>
      </c>
      <c r="J289" s="111">
        <f t="shared" ref="J289:Y289" si="252">J246 * J$93</f>
        <v>1.6850345048359763</v>
      </c>
      <c r="K289" s="111">
        <f t="shared" si="252"/>
        <v>1.6850345048359763</v>
      </c>
      <c r="L289" s="111">
        <f t="shared" si="252"/>
        <v>1.5762072904946298</v>
      </c>
      <c r="M289" s="111">
        <f t="shared" si="252"/>
        <v>1.5762072904946298</v>
      </c>
      <c r="N289" s="111">
        <f t="shared" si="252"/>
        <v>1.3864961741440753</v>
      </c>
      <c r="O289" s="111">
        <f t="shared" si="252"/>
        <v>1.1787435426587205</v>
      </c>
      <c r="P289" s="111">
        <f t="shared" si="252"/>
        <v>1.2137377075683233</v>
      </c>
      <c r="Q289" s="111">
        <f t="shared" si="252"/>
        <v>1.2448988455514018</v>
      </c>
      <c r="R289" s="111">
        <f t="shared" si="252"/>
        <v>1.1696008312719401</v>
      </c>
      <c r="S289" s="111">
        <f t="shared" si="252"/>
        <v>1.1696008312719401</v>
      </c>
      <c r="T289" s="111">
        <f t="shared" si="252"/>
        <v>1.1696008312719401</v>
      </c>
      <c r="U289" s="111">
        <f t="shared" si="252"/>
        <v>1.1696008312719401</v>
      </c>
      <c r="V289" s="111">
        <f t="shared" si="252"/>
        <v>1.1696008312719401</v>
      </c>
      <c r="W289" s="111">
        <f t="shared" si="252"/>
        <v>1.1696008312719401</v>
      </c>
      <c r="X289" s="111">
        <f t="shared" si="252"/>
        <v>1.1696008312719401</v>
      </c>
      <c r="Y289" s="111">
        <f t="shared" si="252"/>
        <v>1.1696008312719401</v>
      </c>
    </row>
    <row r="290" spans="2:27" x14ac:dyDescent="0.35">
      <c r="F290" s="23" t="s">
        <v>198</v>
      </c>
      <c r="G290" s="23" t="s">
        <v>283</v>
      </c>
      <c r="J290" s="111">
        <f t="shared" ref="J290:Y290" si="253">J247 * J$93</f>
        <v>1.6850345048359763</v>
      </c>
      <c r="K290" s="111">
        <f t="shared" si="253"/>
        <v>1.6850345048359763</v>
      </c>
      <c r="L290" s="111">
        <f t="shared" si="253"/>
        <v>1.5762072904946298</v>
      </c>
      <c r="M290" s="111">
        <f t="shared" si="253"/>
        <v>1.5762072904946298</v>
      </c>
      <c r="N290" s="111">
        <f t="shared" si="253"/>
        <v>1.3864961741440753</v>
      </c>
      <c r="O290" s="111">
        <f t="shared" si="253"/>
        <v>1.1787435426587205</v>
      </c>
      <c r="P290" s="111">
        <f t="shared" si="253"/>
        <v>1.2137377075683233</v>
      </c>
      <c r="Q290" s="111">
        <f t="shared" si="253"/>
        <v>1.2448988455514018</v>
      </c>
      <c r="R290" s="111">
        <f t="shared" si="253"/>
        <v>1.1696008312719401</v>
      </c>
      <c r="S290" s="111">
        <f t="shared" si="253"/>
        <v>1.1696008312719401</v>
      </c>
      <c r="T290" s="111">
        <f t="shared" si="253"/>
        <v>1.1696008312719401</v>
      </c>
      <c r="U290" s="111">
        <f t="shared" si="253"/>
        <v>1.1696008312719401</v>
      </c>
      <c r="V290" s="111">
        <f t="shared" si="253"/>
        <v>1.1696008312719401</v>
      </c>
      <c r="W290" s="111">
        <f t="shared" si="253"/>
        <v>1.1696008312719401</v>
      </c>
      <c r="X290" s="111">
        <f t="shared" si="253"/>
        <v>1.1696008312719401</v>
      </c>
      <c r="Y290" s="111">
        <f t="shared" si="253"/>
        <v>1.1696008312719401</v>
      </c>
    </row>
    <row r="291" spans="2:27" x14ac:dyDescent="0.35">
      <c r="F291" s="57" t="s">
        <v>199</v>
      </c>
      <c r="G291" s="57" t="s">
        <v>283</v>
      </c>
      <c r="H291" s="28"/>
      <c r="I291" s="28"/>
      <c r="J291" s="121">
        <f t="shared" ref="J291:Y291" si="254">J248 * J$93</f>
        <v>1.6850345048359763</v>
      </c>
      <c r="K291" s="121">
        <f t="shared" si="254"/>
        <v>1.6850345048359763</v>
      </c>
      <c r="L291" s="121">
        <f t="shared" si="254"/>
        <v>1.5762072904946298</v>
      </c>
      <c r="M291" s="121">
        <f t="shared" si="254"/>
        <v>1.5762072904946298</v>
      </c>
      <c r="N291" s="121">
        <f t="shared" si="254"/>
        <v>1.3864961741440753</v>
      </c>
      <c r="O291" s="121">
        <f t="shared" si="254"/>
        <v>1.1787435426587205</v>
      </c>
      <c r="P291" s="121">
        <f t="shared" si="254"/>
        <v>1.2137377075683233</v>
      </c>
      <c r="Q291" s="121">
        <f t="shared" si="254"/>
        <v>1.2448988455514018</v>
      </c>
      <c r="R291" s="121">
        <f t="shared" si="254"/>
        <v>1.1696008312719401</v>
      </c>
      <c r="S291" s="121">
        <f t="shared" si="254"/>
        <v>1.1696008312719401</v>
      </c>
      <c r="T291" s="121">
        <f t="shared" si="254"/>
        <v>1.1696008312719401</v>
      </c>
      <c r="U291" s="121">
        <f t="shared" si="254"/>
        <v>1.1696008312719401</v>
      </c>
      <c r="V291" s="121">
        <f t="shared" si="254"/>
        <v>1.1696008312719401</v>
      </c>
      <c r="W291" s="121">
        <f t="shared" si="254"/>
        <v>1.1696008312719401</v>
      </c>
      <c r="X291" s="121">
        <f t="shared" si="254"/>
        <v>1.1696008312719401</v>
      </c>
      <c r="Y291" s="121">
        <f t="shared" si="254"/>
        <v>1.1696008312719401</v>
      </c>
    </row>
    <row r="292" spans="2:27" x14ac:dyDescent="0.35">
      <c r="J292" s="79"/>
      <c r="K292" s="79"/>
      <c r="L292" s="79"/>
      <c r="M292" s="79"/>
      <c r="N292" s="79"/>
      <c r="O292" s="79"/>
      <c r="P292" s="79"/>
      <c r="Q292" s="79"/>
      <c r="R292" s="79"/>
      <c r="S292" s="79"/>
      <c r="T292" s="79"/>
      <c r="U292" s="79"/>
      <c r="V292" s="79"/>
      <c r="W292" s="79"/>
      <c r="X292" s="79"/>
      <c r="Y292" s="79"/>
    </row>
    <row r="293" spans="2:27" x14ac:dyDescent="0.35">
      <c r="E293" s="27" t="s">
        <v>158</v>
      </c>
      <c r="F293" s="23"/>
      <c r="G293" s="23"/>
      <c r="J293" s="79"/>
      <c r="K293" s="79"/>
      <c r="L293" s="79"/>
      <c r="M293" s="79"/>
      <c r="N293" s="79"/>
      <c r="O293" s="79"/>
      <c r="P293" s="79"/>
      <c r="Q293" s="79"/>
      <c r="R293" s="79"/>
      <c r="S293" s="79"/>
      <c r="T293" s="79"/>
      <c r="U293" s="79"/>
      <c r="V293" s="79"/>
      <c r="W293" s="79"/>
      <c r="X293" s="79"/>
      <c r="Y293" s="79"/>
    </row>
    <row r="294" spans="2:27" x14ac:dyDescent="0.35">
      <c r="F294" s="54" t="s">
        <v>191</v>
      </c>
      <c r="G294" s="54" t="s">
        <v>283</v>
      </c>
      <c r="H294" s="19"/>
      <c r="I294" s="19"/>
      <c r="J294" s="91">
        <f>J251 * J$93</f>
        <v>0</v>
      </c>
      <c r="K294" s="91">
        <f t="shared" ref="K294:Y294" si="255">K251 * K$93</f>
        <v>0</v>
      </c>
      <c r="L294" s="91">
        <f t="shared" si="255"/>
        <v>0</v>
      </c>
      <c r="M294" s="91">
        <f t="shared" si="255"/>
        <v>0</v>
      </c>
      <c r="N294" s="91">
        <f t="shared" si="255"/>
        <v>0</v>
      </c>
      <c r="O294" s="91">
        <f t="shared" si="255"/>
        <v>0</v>
      </c>
      <c r="P294" s="91">
        <f t="shared" si="255"/>
        <v>0</v>
      </c>
      <c r="Q294" s="91">
        <f t="shared" si="255"/>
        <v>0</v>
      </c>
      <c r="R294" s="91">
        <f t="shared" si="255"/>
        <v>0</v>
      </c>
      <c r="S294" s="91">
        <f t="shared" si="255"/>
        <v>0</v>
      </c>
      <c r="T294" s="91">
        <f t="shared" si="255"/>
        <v>0</v>
      </c>
      <c r="U294" s="91">
        <f t="shared" si="255"/>
        <v>0</v>
      </c>
      <c r="V294" s="91">
        <f t="shared" si="255"/>
        <v>0</v>
      </c>
      <c r="W294" s="91">
        <f t="shared" si="255"/>
        <v>0</v>
      </c>
      <c r="X294" s="91">
        <f t="shared" si="255"/>
        <v>0</v>
      </c>
      <c r="Y294" s="91">
        <f t="shared" si="255"/>
        <v>0</v>
      </c>
    </row>
    <row r="295" spans="2:27" x14ac:dyDescent="0.35">
      <c r="F295" s="23" t="s">
        <v>192</v>
      </c>
      <c r="G295" s="23" t="s">
        <v>283</v>
      </c>
      <c r="J295" s="111">
        <f t="shared" ref="J295:Y295" si="256">J252 * J$93</f>
        <v>3.2341279594959714E-2</v>
      </c>
      <c r="K295" s="111">
        <f t="shared" si="256"/>
        <v>3.2341279594959714E-2</v>
      </c>
      <c r="L295" s="111">
        <f t="shared" si="256"/>
        <v>3.0252532239072958E-2</v>
      </c>
      <c r="M295" s="111">
        <f t="shared" si="256"/>
        <v>3.0252532239072958E-2</v>
      </c>
      <c r="N295" s="111">
        <f t="shared" si="256"/>
        <v>2.6611360358879052E-2</v>
      </c>
      <c r="O295" s="111">
        <f t="shared" si="256"/>
        <v>2.262391326377608E-2</v>
      </c>
      <c r="P295" s="111">
        <f t="shared" si="256"/>
        <v>2.3295564834284278E-2</v>
      </c>
      <c r="Q295" s="111">
        <f t="shared" si="256"/>
        <v>2.5067107498503841E-2</v>
      </c>
      <c r="R295" s="111">
        <f t="shared" si="256"/>
        <v>2.2448434966822944E-2</v>
      </c>
      <c r="S295" s="111">
        <f t="shared" si="256"/>
        <v>2.2448434966822944E-2</v>
      </c>
      <c r="T295" s="111">
        <f t="shared" si="256"/>
        <v>2.2448434966822944E-2</v>
      </c>
      <c r="U295" s="111">
        <f t="shared" si="256"/>
        <v>2.2448434966822944E-2</v>
      </c>
      <c r="V295" s="111">
        <f t="shared" si="256"/>
        <v>2.2448434966822944E-2</v>
      </c>
      <c r="W295" s="111">
        <f t="shared" si="256"/>
        <v>2.2448434966822944E-2</v>
      </c>
      <c r="X295" s="111">
        <f t="shared" si="256"/>
        <v>2.2448434966822944E-2</v>
      </c>
      <c r="Y295" s="111">
        <f t="shared" si="256"/>
        <v>2.2448434966822944E-2</v>
      </c>
    </row>
    <row r="296" spans="2:27" x14ac:dyDescent="0.35">
      <c r="F296" s="23" t="s">
        <v>193</v>
      </c>
      <c r="G296" s="23" t="s">
        <v>283</v>
      </c>
      <c r="J296" s="111">
        <f t="shared" ref="J296:Y296" si="257">J253 * J$93</f>
        <v>3.2341279594959714E-2</v>
      </c>
      <c r="K296" s="111">
        <f t="shared" si="257"/>
        <v>3.2341279594959714E-2</v>
      </c>
      <c r="L296" s="111">
        <f t="shared" si="257"/>
        <v>3.0252532239072958E-2</v>
      </c>
      <c r="M296" s="111">
        <f t="shared" si="257"/>
        <v>3.0252532239072958E-2</v>
      </c>
      <c r="N296" s="111">
        <f t="shared" si="257"/>
        <v>2.6611360358879052E-2</v>
      </c>
      <c r="O296" s="111">
        <f t="shared" si="257"/>
        <v>2.262391326377608E-2</v>
      </c>
      <c r="P296" s="111">
        <f t="shared" si="257"/>
        <v>2.3295564834284278E-2</v>
      </c>
      <c r="Q296" s="111">
        <f t="shared" si="257"/>
        <v>2.5067107498503841E-2</v>
      </c>
      <c r="R296" s="111">
        <f t="shared" si="257"/>
        <v>2.2448434966822944E-2</v>
      </c>
      <c r="S296" s="111">
        <f t="shared" si="257"/>
        <v>2.2448434966822944E-2</v>
      </c>
      <c r="T296" s="111">
        <f t="shared" si="257"/>
        <v>2.2448434966822944E-2</v>
      </c>
      <c r="U296" s="111">
        <f t="shared" si="257"/>
        <v>2.2448434966822944E-2</v>
      </c>
      <c r="V296" s="111">
        <f t="shared" si="257"/>
        <v>2.2448434966822944E-2</v>
      </c>
      <c r="W296" s="111">
        <f t="shared" si="257"/>
        <v>2.2448434966822944E-2</v>
      </c>
      <c r="X296" s="111">
        <f t="shared" si="257"/>
        <v>2.2448434966822944E-2</v>
      </c>
      <c r="Y296" s="111">
        <f t="shared" si="257"/>
        <v>2.2448434966822944E-2</v>
      </c>
    </row>
    <row r="297" spans="2:27" x14ac:dyDescent="0.35">
      <c r="F297" s="23" t="s">
        <v>194</v>
      </c>
      <c r="G297" s="23" t="s">
        <v>283</v>
      </c>
      <c r="J297" s="111">
        <f t="shared" ref="J297:Y297" si="258">J254 * J$93</f>
        <v>4.9367511387570485E-2</v>
      </c>
      <c r="K297" s="111">
        <f t="shared" si="258"/>
        <v>4.9367511387570485E-2</v>
      </c>
      <c r="L297" s="111">
        <f t="shared" si="258"/>
        <v>4.6179132320046903E-2</v>
      </c>
      <c r="M297" s="111">
        <f t="shared" si="258"/>
        <v>4.6179132320046903E-2</v>
      </c>
      <c r="N297" s="111">
        <f t="shared" si="258"/>
        <v>4.0621046909982042E-2</v>
      </c>
      <c r="O297" s="111">
        <f t="shared" si="258"/>
        <v>3.4534387929874483E-2</v>
      </c>
      <c r="P297" s="111">
        <f t="shared" si="258"/>
        <v>3.5559633899446781E-2</v>
      </c>
      <c r="Q297" s="111">
        <f t="shared" si="258"/>
        <v>3.8263814245578044E-2</v>
      </c>
      <c r="R297" s="111">
        <f t="shared" si="258"/>
        <v>3.4266528187415331E-2</v>
      </c>
      <c r="S297" s="111">
        <f t="shared" si="258"/>
        <v>3.4266528187415331E-2</v>
      </c>
      <c r="T297" s="111">
        <f t="shared" si="258"/>
        <v>3.4266528187415331E-2</v>
      </c>
      <c r="U297" s="111">
        <f t="shared" si="258"/>
        <v>3.4266528187415331E-2</v>
      </c>
      <c r="V297" s="111">
        <f t="shared" si="258"/>
        <v>3.4266528187415331E-2</v>
      </c>
      <c r="W297" s="111">
        <f t="shared" si="258"/>
        <v>3.4266528187415331E-2</v>
      </c>
      <c r="X297" s="111">
        <f t="shared" si="258"/>
        <v>3.4266528187415331E-2</v>
      </c>
      <c r="Y297" s="111">
        <f t="shared" si="258"/>
        <v>3.4266528187415331E-2</v>
      </c>
    </row>
    <row r="298" spans="2:27" x14ac:dyDescent="0.35">
      <c r="F298" s="23" t="s">
        <v>195</v>
      </c>
      <c r="G298" s="23" t="s">
        <v>283</v>
      </c>
      <c r="J298" s="111">
        <f t="shared" ref="J298:Y298" si="259">J255 * J$93</f>
        <v>4.9367511387570485E-2</v>
      </c>
      <c r="K298" s="111">
        <f t="shared" si="259"/>
        <v>4.9367511387570485E-2</v>
      </c>
      <c r="L298" s="111">
        <f t="shared" si="259"/>
        <v>4.6179132320046903E-2</v>
      </c>
      <c r="M298" s="111">
        <f t="shared" si="259"/>
        <v>4.6179132320046903E-2</v>
      </c>
      <c r="N298" s="111">
        <f t="shared" si="259"/>
        <v>4.0621046909982042E-2</v>
      </c>
      <c r="O298" s="111">
        <f t="shared" si="259"/>
        <v>3.4534387929874483E-2</v>
      </c>
      <c r="P298" s="111">
        <f t="shared" si="259"/>
        <v>3.5559633899446781E-2</v>
      </c>
      <c r="Q298" s="111">
        <f t="shared" si="259"/>
        <v>3.8263814245578044E-2</v>
      </c>
      <c r="R298" s="111">
        <f t="shared" si="259"/>
        <v>3.4266528187415331E-2</v>
      </c>
      <c r="S298" s="111">
        <f t="shared" si="259"/>
        <v>3.4266528187415331E-2</v>
      </c>
      <c r="T298" s="111">
        <f t="shared" si="259"/>
        <v>3.4266528187415331E-2</v>
      </c>
      <c r="U298" s="111">
        <f t="shared" si="259"/>
        <v>3.4266528187415331E-2</v>
      </c>
      <c r="V298" s="111">
        <f t="shared" si="259"/>
        <v>3.4266528187415331E-2</v>
      </c>
      <c r="W298" s="111">
        <f t="shared" si="259"/>
        <v>3.4266528187415331E-2</v>
      </c>
      <c r="X298" s="111">
        <f t="shared" si="259"/>
        <v>3.4266528187415331E-2</v>
      </c>
      <c r="Y298" s="111">
        <f t="shared" si="259"/>
        <v>3.4266528187415331E-2</v>
      </c>
    </row>
    <row r="299" spans="2:27" x14ac:dyDescent="0.35">
      <c r="F299" s="23" t="s">
        <v>196</v>
      </c>
      <c r="G299" s="23" t="s">
        <v>283</v>
      </c>
      <c r="J299" s="111">
        <f t="shared" ref="J299:Y299" si="260">J256 * J$93</f>
        <v>0</v>
      </c>
      <c r="K299" s="111">
        <f t="shared" si="260"/>
        <v>0</v>
      </c>
      <c r="L299" s="111">
        <f t="shared" si="260"/>
        <v>0</v>
      </c>
      <c r="M299" s="111">
        <f t="shared" si="260"/>
        <v>0</v>
      </c>
      <c r="N299" s="111">
        <f t="shared" si="260"/>
        <v>0</v>
      </c>
      <c r="O299" s="111">
        <f t="shared" si="260"/>
        <v>0</v>
      </c>
      <c r="P299" s="111">
        <f t="shared" si="260"/>
        <v>0</v>
      </c>
      <c r="Q299" s="111">
        <f t="shared" si="260"/>
        <v>0</v>
      </c>
      <c r="R299" s="111">
        <f t="shared" si="260"/>
        <v>0</v>
      </c>
      <c r="S299" s="111">
        <f t="shared" si="260"/>
        <v>0</v>
      </c>
      <c r="T299" s="111">
        <f t="shared" si="260"/>
        <v>0</v>
      </c>
      <c r="U299" s="111">
        <f t="shared" si="260"/>
        <v>0</v>
      </c>
      <c r="V299" s="111">
        <f t="shared" si="260"/>
        <v>0</v>
      </c>
      <c r="W299" s="111">
        <f t="shared" si="260"/>
        <v>0</v>
      </c>
      <c r="X299" s="111">
        <f t="shared" si="260"/>
        <v>0</v>
      </c>
      <c r="Y299" s="111">
        <f t="shared" si="260"/>
        <v>0</v>
      </c>
    </row>
    <row r="300" spans="2:27" x14ac:dyDescent="0.35">
      <c r="F300" s="23" t="s">
        <v>197</v>
      </c>
      <c r="G300" s="23" t="s">
        <v>283</v>
      </c>
      <c r="J300" s="111">
        <f t="shared" ref="J300:Y300" si="261">J257 * J$93</f>
        <v>8.5534435523114238E-2</v>
      </c>
      <c r="K300" s="111">
        <f t="shared" si="261"/>
        <v>8.5534435523114238E-2</v>
      </c>
      <c r="L300" s="111">
        <f t="shared" si="261"/>
        <v>8.0010231525198997E-2</v>
      </c>
      <c r="M300" s="111">
        <f t="shared" si="261"/>
        <v>8.0010231525198997E-2</v>
      </c>
      <c r="N300" s="111">
        <f t="shared" si="261"/>
        <v>7.038026062375205E-2</v>
      </c>
      <c r="O300" s="111">
        <f t="shared" si="261"/>
        <v>5.9834480100242143E-2</v>
      </c>
      <c r="P300" s="111">
        <f t="shared" si="261"/>
        <v>6.1610827191981375E-2</v>
      </c>
      <c r="Q300" s="111">
        <f t="shared" si="261"/>
        <v>6.62961056870459E-2</v>
      </c>
      <c r="R300" s="111">
        <f t="shared" si="261"/>
        <v>5.9370384762505939E-2</v>
      </c>
      <c r="S300" s="111">
        <f t="shared" si="261"/>
        <v>5.9370384762505939E-2</v>
      </c>
      <c r="T300" s="111">
        <f t="shared" si="261"/>
        <v>5.9370384762505939E-2</v>
      </c>
      <c r="U300" s="111">
        <f t="shared" si="261"/>
        <v>5.9370384762505939E-2</v>
      </c>
      <c r="V300" s="111">
        <f t="shared" si="261"/>
        <v>5.9370384762505939E-2</v>
      </c>
      <c r="W300" s="111">
        <f t="shared" si="261"/>
        <v>5.9370384762505939E-2</v>
      </c>
      <c r="X300" s="111">
        <f t="shared" si="261"/>
        <v>5.9370384762505939E-2</v>
      </c>
      <c r="Y300" s="111">
        <f t="shared" si="261"/>
        <v>5.9370384762505939E-2</v>
      </c>
    </row>
    <row r="301" spans="2:27" x14ac:dyDescent="0.35">
      <c r="F301" s="23" t="s">
        <v>198</v>
      </c>
      <c r="G301" s="23" t="s">
        <v>283</v>
      </c>
      <c r="J301" s="111">
        <f t="shared" ref="J301:Y301" si="262">J258 * J$93</f>
        <v>8.5534435523114238E-2</v>
      </c>
      <c r="K301" s="111">
        <f t="shared" si="262"/>
        <v>8.5534435523114238E-2</v>
      </c>
      <c r="L301" s="111">
        <f t="shared" si="262"/>
        <v>8.0010231525198997E-2</v>
      </c>
      <c r="M301" s="111">
        <f t="shared" si="262"/>
        <v>8.0010231525198997E-2</v>
      </c>
      <c r="N301" s="111">
        <f t="shared" si="262"/>
        <v>7.038026062375205E-2</v>
      </c>
      <c r="O301" s="111">
        <f t="shared" si="262"/>
        <v>5.9834480100242143E-2</v>
      </c>
      <c r="P301" s="111">
        <f t="shared" si="262"/>
        <v>6.1610827191981375E-2</v>
      </c>
      <c r="Q301" s="111">
        <f t="shared" si="262"/>
        <v>6.62961056870459E-2</v>
      </c>
      <c r="R301" s="111">
        <f t="shared" si="262"/>
        <v>5.9370384762505939E-2</v>
      </c>
      <c r="S301" s="111">
        <f t="shared" si="262"/>
        <v>5.9370384762505939E-2</v>
      </c>
      <c r="T301" s="111">
        <f t="shared" si="262"/>
        <v>5.9370384762505939E-2</v>
      </c>
      <c r="U301" s="111">
        <f t="shared" si="262"/>
        <v>5.9370384762505939E-2</v>
      </c>
      <c r="V301" s="111">
        <f t="shared" si="262"/>
        <v>5.9370384762505939E-2</v>
      </c>
      <c r="W301" s="111">
        <f t="shared" si="262"/>
        <v>5.9370384762505939E-2</v>
      </c>
      <c r="X301" s="111">
        <f t="shared" si="262"/>
        <v>5.9370384762505939E-2</v>
      </c>
      <c r="Y301" s="111">
        <f t="shared" si="262"/>
        <v>5.9370384762505939E-2</v>
      </c>
    </row>
    <row r="302" spans="2:27" x14ac:dyDescent="0.35">
      <c r="F302" s="57" t="s">
        <v>199</v>
      </c>
      <c r="G302" s="57" t="s">
        <v>283</v>
      </c>
      <c r="H302" s="28"/>
      <c r="I302" s="28"/>
      <c r="J302" s="121">
        <f t="shared" ref="J302:Y302" si="263">J259 * J$93</f>
        <v>8.5534435523114238E-2</v>
      </c>
      <c r="K302" s="121">
        <f t="shared" si="263"/>
        <v>8.5534435523114238E-2</v>
      </c>
      <c r="L302" s="121">
        <f t="shared" si="263"/>
        <v>8.0010231525198997E-2</v>
      </c>
      <c r="M302" s="121">
        <f t="shared" si="263"/>
        <v>8.0010231525198997E-2</v>
      </c>
      <c r="N302" s="121">
        <f t="shared" si="263"/>
        <v>7.038026062375205E-2</v>
      </c>
      <c r="O302" s="121">
        <f t="shared" si="263"/>
        <v>5.9834480100242143E-2</v>
      </c>
      <c r="P302" s="121">
        <f t="shared" si="263"/>
        <v>6.1610827191981375E-2</v>
      </c>
      <c r="Q302" s="121">
        <f t="shared" si="263"/>
        <v>6.62961056870459E-2</v>
      </c>
      <c r="R302" s="121">
        <f t="shared" si="263"/>
        <v>5.9370384762505939E-2</v>
      </c>
      <c r="S302" s="121">
        <f t="shared" si="263"/>
        <v>5.9370384762505939E-2</v>
      </c>
      <c r="T302" s="121">
        <f t="shared" si="263"/>
        <v>5.9370384762505939E-2</v>
      </c>
      <c r="U302" s="121">
        <f t="shared" si="263"/>
        <v>5.9370384762505939E-2</v>
      </c>
      <c r="V302" s="121">
        <f t="shared" si="263"/>
        <v>5.9370384762505939E-2</v>
      </c>
      <c r="W302" s="121">
        <f t="shared" si="263"/>
        <v>5.9370384762505939E-2</v>
      </c>
      <c r="X302" s="121">
        <f t="shared" si="263"/>
        <v>5.9370384762505939E-2</v>
      </c>
      <c r="Y302" s="121">
        <f t="shared" si="263"/>
        <v>5.9370384762505939E-2</v>
      </c>
    </row>
    <row r="304" spans="2:27" x14ac:dyDescent="0.35">
      <c r="B304" s="25" t="s">
        <v>231</v>
      </c>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row>
    <row r="306" spans="2:27" x14ac:dyDescent="0.35">
      <c r="E306" t="s">
        <v>232</v>
      </c>
      <c r="G306" s="6" t="s">
        <v>55</v>
      </c>
      <c r="H306" s="93">
        <f t="array" ref="H306">SUM(IF(ISERROR(H20:Y302), 1))</f>
        <v>0</v>
      </c>
    </row>
    <row r="308" spans="2:27" x14ac:dyDescent="0.35">
      <c r="B308" s="25" t="s">
        <v>106</v>
      </c>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row>
  </sheetData>
  <sheetProtection sheet="1" objects="1" formatCells="0" formatColumns="0" formatRows="0" sort="0" autoFilter="0"/>
  <conditionalFormatting sqref="A4:I4 Z4:XFD4">
    <cfRule type="expression" dxfId="155" priority="10">
      <formula>LEFT($A$4,1) &lt;&gt; "0"</formula>
    </cfRule>
  </conditionalFormatting>
  <conditionalFormatting sqref="N4:P4">
    <cfRule type="expression" dxfId="154" priority="9">
      <formula>LEFT($A$4,1) &lt;&gt; "0"</formula>
    </cfRule>
  </conditionalFormatting>
  <conditionalFormatting sqref="L4:M4">
    <cfRule type="expression" dxfId="153" priority="8">
      <formula>LEFT($A$4,1) &lt;&gt; "0"</formula>
    </cfRule>
  </conditionalFormatting>
  <conditionalFormatting sqref="J4:K4">
    <cfRule type="expression" dxfId="152" priority="7">
      <formula>LEFT($A$4,1) &lt;&gt; "0"</formula>
    </cfRule>
  </conditionalFormatting>
  <conditionalFormatting sqref="Q4">
    <cfRule type="expression" dxfId="151" priority="6">
      <formula>LEFT($A$4,1) &lt;&gt; "0"</formula>
    </cfRule>
  </conditionalFormatting>
  <conditionalFormatting sqref="R4:S4">
    <cfRule type="expression" dxfId="150" priority="5">
      <formula>LEFT($A$4,1) &lt;&gt; "0"</formula>
    </cfRule>
  </conditionalFormatting>
  <conditionalFormatting sqref="T4:U4">
    <cfRule type="expression" dxfId="149" priority="4">
      <formula>LEFT($A$4,1) &lt;&gt; "0"</formula>
    </cfRule>
  </conditionalFormatting>
  <conditionalFormatting sqref="V4:W4">
    <cfRule type="expression" dxfId="148" priority="3">
      <formula>LEFT($A$4,1) &lt;&gt; "0"</formula>
    </cfRule>
  </conditionalFormatting>
  <conditionalFormatting sqref="X4:Y4">
    <cfRule type="expression" dxfId="147" priority="2">
      <formula>LEFT($A$4,1) &lt;&gt; "0"</formula>
    </cfRule>
  </conditionalFormatting>
  <conditionalFormatting sqref="H306">
    <cfRule type="cellIs" dxfId="146" priority="1" operator="greaterThan">
      <formula>0</formula>
    </cfRule>
  </conditionalFormatting>
  <hyperlinks>
    <hyperlink ref="B5:F5" location="'Model map'!A1" display="Click here to return to model map" xr:uid="{00000000-0004-0000-0D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41" width="17" hidden="1" customWidth="1"/>
    <col min="42" max="42" width="3.54296875" hidden="1" customWidth="1"/>
    <col min="43" max="43" width="18.453125" hidden="1" customWidth="1"/>
    <col min="44" max="44" width="4.453125" hidden="1" customWidth="1"/>
    <col min="45" max="45" width="24.54296875" hidden="1" customWidth="1"/>
    <col min="46" max="46" width="3.54296875" hidden="1" customWidth="1"/>
    <col min="47" max="47" width="15.453125" hidden="1" customWidth="1"/>
    <col min="48" max="323" width="24.54296875" hidden="1" customWidth="1"/>
    <col min="324" max="16384" width="8.54296875" hidden="1"/>
  </cols>
  <sheetData>
    <row r="1" spans="1:43" s="1" customFormat="1" x14ac:dyDescent="0.35">
      <c r="A1" s="1" t="str">
        <f ca="1">MID(CELL("filename",A1),FIND("]",CELL("filename",A1))+1,255)</f>
        <v>System peak demand</v>
      </c>
    </row>
    <row r="2" spans="1:43" s="1" customFormat="1" x14ac:dyDescent="0.35">
      <c r="A2" s="1" t="str">
        <f>Cover!D21&amp;" - "&amp;Cover!D23</f>
        <v>Southern Electric Power Distribution - Final</v>
      </c>
    </row>
    <row r="3" spans="1:43" s="5" customFormat="1" x14ac:dyDescent="0.35">
      <c r="A3" s="5" t="str">
        <f>Cover!D2&amp;" - "&amp;Cover!D8&amp;" v"&amp;Cover!D10&amp;" - "&amp;Cover!D19</f>
        <v>CDCM charging model - Release for charge setting v9 - 2024/25</v>
      </c>
    </row>
    <row r="4" spans="1:43" x14ac:dyDescent="0.35">
      <c r="A4" s="11" t="str">
        <f>H281 &amp; IF(H281 = 1, " issue", " issues") &amp;" identified in checks on this sheet"</f>
        <v>0 issues identified in checks on this sheet</v>
      </c>
      <c r="B4" s="12"/>
      <c r="C4" s="12"/>
      <c r="D4" s="12"/>
      <c r="E4" s="12"/>
      <c r="F4" s="12"/>
      <c r="G4" s="12"/>
      <c r="H4" s="13"/>
      <c r="I4" s="13"/>
    </row>
    <row r="5" spans="1:43" ht="43.5" x14ac:dyDescent="0.3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3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35">
      <c r="C9" s="24" t="s">
        <v>489</v>
      </c>
      <c r="D9" s="24"/>
    </row>
    <row r="10" spans="1:43" x14ac:dyDescent="0.35">
      <c r="C10" s="24" t="s">
        <v>490</v>
      </c>
      <c r="D10" s="24"/>
    </row>
    <row r="11" spans="1:43" x14ac:dyDescent="0.35">
      <c r="C11" s="24" t="s">
        <v>491</v>
      </c>
      <c r="D11" s="24"/>
    </row>
    <row r="12" spans="1:43" x14ac:dyDescent="0.35">
      <c r="C12" s="24"/>
      <c r="D12" s="24" t="s">
        <v>492</v>
      </c>
    </row>
    <row r="13" spans="1:43" x14ac:dyDescent="0.35">
      <c r="C13" s="24"/>
      <c r="D13" s="24" t="s">
        <v>493</v>
      </c>
    </row>
    <row r="14" spans="1:43" x14ac:dyDescent="0.35">
      <c r="C14" s="24"/>
      <c r="D14" s="24" t="s">
        <v>494</v>
      </c>
    </row>
    <row r="16" spans="1:43" x14ac:dyDescent="0.35">
      <c r="B16" s="25" t="s">
        <v>495</v>
      </c>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C16" s="25"/>
      <c r="AD16" s="25"/>
      <c r="AE16" s="25"/>
      <c r="AF16" s="25"/>
      <c r="AG16" s="25"/>
      <c r="AH16" s="25"/>
      <c r="AI16" s="25"/>
      <c r="AJ16" s="25"/>
      <c r="AK16" s="25"/>
      <c r="AL16" s="25"/>
      <c r="AM16" s="25"/>
      <c r="AN16" s="25"/>
      <c r="AO16" s="25"/>
      <c r="AQ16" s="25"/>
    </row>
    <row r="17" spans="3:43" x14ac:dyDescent="0.35">
      <c r="C17" s="27"/>
      <c r="AQ17" s="3"/>
    </row>
    <row r="18" spans="3:43" x14ac:dyDescent="0.35">
      <c r="C18" s="26" t="str">
        <f ca="1">INDEX('Version control'!$H$38:$H$61,MATCH($A$1,'Version control'!$F$38:$F$61,0),1)&amp;"-A: Common inputs for chargeable load calculations"</f>
        <v>Section 106-A: Common inputs for chargeable load calculations</v>
      </c>
      <c r="D18" s="26"/>
      <c r="E18" s="26"/>
      <c r="F18" s="26"/>
      <c r="G18" s="26"/>
      <c r="H18" s="26"/>
      <c r="I18" s="26"/>
      <c r="J18" s="26"/>
      <c r="K18" s="26"/>
      <c r="L18" s="26"/>
      <c r="M18" s="26"/>
      <c r="N18" s="26"/>
      <c r="O18" s="26"/>
      <c r="P18" s="26"/>
      <c r="Q18" s="26"/>
      <c r="R18" s="26"/>
      <c r="S18" s="26"/>
      <c r="T18" s="26"/>
      <c r="U18" s="26"/>
      <c r="V18" s="26"/>
      <c r="W18" s="26"/>
      <c r="X18" s="26"/>
      <c r="Y18" s="26"/>
      <c r="Z18" s="26"/>
      <c r="AA18" s="26"/>
      <c r="AQ18" s="3"/>
    </row>
    <row r="19" spans="3:43" x14ac:dyDescent="0.35">
      <c r="H19" s="53"/>
      <c r="J19" s="53"/>
      <c r="K19" s="53"/>
      <c r="L19" s="53"/>
      <c r="M19" s="53"/>
      <c r="N19" s="53"/>
      <c r="O19" s="53"/>
      <c r="P19" s="53"/>
      <c r="Q19" s="53"/>
      <c r="R19" s="53"/>
      <c r="S19" s="53"/>
      <c r="T19" s="53"/>
      <c r="U19" s="53"/>
      <c r="V19" s="53"/>
      <c r="W19" s="53"/>
      <c r="X19" s="53"/>
      <c r="Y19" s="53"/>
    </row>
    <row r="20" spans="3:43" x14ac:dyDescent="0.35">
      <c r="D20" s="24" t="s">
        <v>496</v>
      </c>
      <c r="AQ20" s="3"/>
    </row>
    <row r="21" spans="3:43" x14ac:dyDescent="0.35">
      <c r="C21" s="27"/>
      <c r="AQ21" s="3"/>
    </row>
    <row r="22" spans="3:43" x14ac:dyDescent="0.35">
      <c r="E22" s="27" t="s">
        <v>377</v>
      </c>
      <c r="H22" s="13"/>
      <c r="J22" s="53"/>
      <c r="L22" s="53"/>
      <c r="AQ22" s="3"/>
    </row>
    <row r="23" spans="3:43" x14ac:dyDescent="0.35">
      <c r="E23" s="27"/>
      <c r="F23" s="19" t="s">
        <v>191</v>
      </c>
      <c r="G23" s="19" t="s">
        <v>167</v>
      </c>
      <c r="H23" s="119"/>
      <c r="I23" s="19"/>
      <c r="J23" s="97">
        <f>'Standing charge factors'!J44</f>
        <v>0</v>
      </c>
      <c r="K23" s="97">
        <f>'Standing charge factors'!K44</f>
        <v>0</v>
      </c>
      <c r="L23" s="97">
        <f>'Standing charge factors'!L44</f>
        <v>0</v>
      </c>
      <c r="M23" s="97">
        <f>'Standing charge factors'!M44</f>
        <v>0</v>
      </c>
      <c r="N23" s="97">
        <f>'Standing charge factors'!N44</f>
        <v>0</v>
      </c>
      <c r="O23" s="97">
        <f>'Standing charge factors'!O44</f>
        <v>0</v>
      </c>
      <c r="P23" s="97">
        <f>'Standing charge factors'!P44</f>
        <v>0</v>
      </c>
      <c r="Q23" s="97">
        <f>'Standing charge factors'!Q44</f>
        <v>0</v>
      </c>
      <c r="R23" s="97">
        <f>'Standing charge factors'!R44</f>
        <v>0</v>
      </c>
      <c r="S23" s="97">
        <f>'Standing charge factors'!S44</f>
        <v>0</v>
      </c>
      <c r="T23" s="97">
        <f>'Standing charge factors'!T44</f>
        <v>0</v>
      </c>
      <c r="U23" s="97">
        <f>'Standing charge factors'!U44</f>
        <v>0</v>
      </c>
      <c r="V23" s="97">
        <f>'Standing charge factors'!V44</f>
        <v>0</v>
      </c>
      <c r="W23" s="97">
        <f>'Standing charge factors'!W44</f>
        <v>0</v>
      </c>
      <c r="X23" s="97">
        <f>'Standing charge factors'!X44</f>
        <v>0</v>
      </c>
      <c r="Y23" s="97">
        <f>'Standing charge factors'!Y44</f>
        <v>0</v>
      </c>
      <c r="AQ23" s="3"/>
    </row>
    <row r="24" spans="3:43" x14ac:dyDescent="0.35">
      <c r="E24" s="27"/>
      <c r="F24" t="s">
        <v>192</v>
      </c>
      <c r="G24" t="s">
        <v>167</v>
      </c>
      <c r="H24" s="53"/>
      <c r="J24" s="21">
        <f>'Standing charge factors'!J45</f>
        <v>0</v>
      </c>
      <c r="K24" s="21">
        <f>'Standing charge factors'!K45</f>
        <v>0</v>
      </c>
      <c r="L24" s="21">
        <f>'Standing charge factors'!L45</f>
        <v>0</v>
      </c>
      <c r="M24" s="21">
        <f>'Standing charge factors'!M45</f>
        <v>0</v>
      </c>
      <c r="N24" s="21">
        <f>'Standing charge factors'!N45</f>
        <v>0</v>
      </c>
      <c r="O24" s="21">
        <f>'Standing charge factors'!O45</f>
        <v>0</v>
      </c>
      <c r="P24" s="21">
        <f>'Standing charge factors'!P45</f>
        <v>0</v>
      </c>
      <c r="Q24" s="21">
        <f>'Standing charge factors'!Q45</f>
        <v>0</v>
      </c>
      <c r="R24" s="21">
        <f>'Standing charge factors'!R45</f>
        <v>0</v>
      </c>
      <c r="S24" s="21">
        <f>'Standing charge factors'!S45</f>
        <v>0</v>
      </c>
      <c r="T24" s="21">
        <f>'Standing charge factors'!T45</f>
        <v>0</v>
      </c>
      <c r="U24" s="21">
        <f>'Standing charge factors'!U45</f>
        <v>0</v>
      </c>
      <c r="V24" s="21">
        <f>'Standing charge factors'!V45</f>
        <v>0</v>
      </c>
      <c r="W24" s="21">
        <f>'Standing charge factors'!W45</f>
        <v>0</v>
      </c>
      <c r="X24" s="21">
        <f>'Standing charge factors'!X45</f>
        <v>0</v>
      </c>
      <c r="Y24" s="21">
        <f>'Standing charge factors'!Y45</f>
        <v>0</v>
      </c>
      <c r="AQ24" s="3"/>
    </row>
    <row r="25" spans="3:43" x14ac:dyDescent="0.35">
      <c r="E25" s="27"/>
      <c r="F25" t="s">
        <v>193</v>
      </c>
      <c r="G25" t="s">
        <v>167</v>
      </c>
      <c r="H25" s="53"/>
      <c r="J25" s="21">
        <f>'Standing charge factors'!J46</f>
        <v>0</v>
      </c>
      <c r="K25" s="21">
        <f>'Standing charge factors'!K46</f>
        <v>0</v>
      </c>
      <c r="L25" s="21">
        <f>'Standing charge factors'!L46</f>
        <v>0</v>
      </c>
      <c r="M25" s="21">
        <f>'Standing charge factors'!M46</f>
        <v>0</v>
      </c>
      <c r="N25" s="21">
        <f>'Standing charge factors'!N46</f>
        <v>0</v>
      </c>
      <c r="O25" s="21">
        <f>'Standing charge factors'!O46</f>
        <v>0</v>
      </c>
      <c r="P25" s="21">
        <f>'Standing charge factors'!P46</f>
        <v>0</v>
      </c>
      <c r="Q25" s="21">
        <f>'Standing charge factors'!Q46</f>
        <v>0</v>
      </c>
      <c r="R25" s="21">
        <f>'Standing charge factors'!R46</f>
        <v>0</v>
      </c>
      <c r="S25" s="21">
        <f>'Standing charge factors'!S46</f>
        <v>0</v>
      </c>
      <c r="T25" s="21">
        <f>'Standing charge factors'!T46</f>
        <v>0</v>
      </c>
      <c r="U25" s="21">
        <f>'Standing charge factors'!U46</f>
        <v>0</v>
      </c>
      <c r="V25" s="21">
        <f>'Standing charge factors'!V46</f>
        <v>0</v>
      </c>
      <c r="W25" s="21">
        <f>'Standing charge factors'!W46</f>
        <v>0</v>
      </c>
      <c r="X25" s="21">
        <f>'Standing charge factors'!X46</f>
        <v>0</v>
      </c>
      <c r="Y25" s="21">
        <f>'Standing charge factors'!Y46</f>
        <v>0</v>
      </c>
      <c r="AQ25" s="3"/>
    </row>
    <row r="26" spans="3:43" x14ac:dyDescent="0.35">
      <c r="E26" s="27"/>
      <c r="F26" t="s">
        <v>194</v>
      </c>
      <c r="G26" t="s">
        <v>167</v>
      </c>
      <c r="H26" s="53"/>
      <c r="J26" s="21">
        <f>'Standing charge factors'!J47</f>
        <v>0</v>
      </c>
      <c r="K26" s="21">
        <f>'Standing charge factors'!K47</f>
        <v>0</v>
      </c>
      <c r="L26" s="21">
        <f>'Standing charge factors'!L47</f>
        <v>0</v>
      </c>
      <c r="M26" s="21">
        <f>'Standing charge factors'!M47</f>
        <v>0</v>
      </c>
      <c r="N26" s="21">
        <f>'Standing charge factors'!N47</f>
        <v>0</v>
      </c>
      <c r="O26" s="21">
        <f>'Standing charge factors'!O47</f>
        <v>0</v>
      </c>
      <c r="P26" s="21">
        <f>'Standing charge factors'!P47</f>
        <v>0.2</v>
      </c>
      <c r="Q26" s="21">
        <f>'Standing charge factors'!Q47</f>
        <v>0</v>
      </c>
      <c r="R26" s="21">
        <f>'Standing charge factors'!R47</f>
        <v>0</v>
      </c>
      <c r="S26" s="21">
        <f>'Standing charge factors'!S47</f>
        <v>0</v>
      </c>
      <c r="T26" s="21">
        <f>'Standing charge factors'!T47</f>
        <v>0</v>
      </c>
      <c r="U26" s="21">
        <f>'Standing charge factors'!U47</f>
        <v>0</v>
      </c>
      <c r="V26" s="21">
        <f>'Standing charge factors'!V47</f>
        <v>0</v>
      </c>
      <c r="W26" s="21">
        <f>'Standing charge factors'!W47</f>
        <v>0</v>
      </c>
      <c r="X26" s="21">
        <f>'Standing charge factors'!X47</f>
        <v>0</v>
      </c>
      <c r="Y26" s="21">
        <f>'Standing charge factors'!Y47</f>
        <v>0</v>
      </c>
      <c r="AQ26" s="3"/>
    </row>
    <row r="27" spans="3:43" x14ac:dyDescent="0.35">
      <c r="E27" s="27"/>
      <c r="F27" t="s">
        <v>195</v>
      </c>
      <c r="G27" t="s">
        <v>167</v>
      </c>
      <c r="H27" s="53"/>
      <c r="J27" s="21">
        <f>'Standing charge factors'!J48</f>
        <v>0</v>
      </c>
      <c r="K27" s="21">
        <f>'Standing charge factors'!K48</f>
        <v>0</v>
      </c>
      <c r="L27" s="21">
        <f>'Standing charge factors'!L48</f>
        <v>0</v>
      </c>
      <c r="M27" s="21">
        <f>'Standing charge factors'!M48</f>
        <v>0</v>
      </c>
      <c r="N27" s="21">
        <f>'Standing charge factors'!N48</f>
        <v>0</v>
      </c>
      <c r="O27" s="21">
        <f>'Standing charge factors'!O48</f>
        <v>0</v>
      </c>
      <c r="P27" s="21">
        <f>'Standing charge factors'!P48</f>
        <v>1</v>
      </c>
      <c r="Q27" s="21">
        <f>'Standing charge factors'!Q48</f>
        <v>0</v>
      </c>
      <c r="R27" s="21">
        <f>'Standing charge factors'!R48</f>
        <v>0</v>
      </c>
      <c r="S27" s="21">
        <f>'Standing charge factors'!S48</f>
        <v>0</v>
      </c>
      <c r="T27" s="21">
        <f>'Standing charge factors'!T48</f>
        <v>0</v>
      </c>
      <c r="U27" s="21">
        <f>'Standing charge factors'!U48</f>
        <v>0</v>
      </c>
      <c r="V27" s="21">
        <f>'Standing charge factors'!V48</f>
        <v>0</v>
      </c>
      <c r="W27" s="21">
        <f>'Standing charge factors'!W48</f>
        <v>0</v>
      </c>
      <c r="X27" s="21">
        <f>'Standing charge factors'!X48</f>
        <v>0</v>
      </c>
      <c r="Y27" s="21">
        <f>'Standing charge factors'!Y48</f>
        <v>0</v>
      </c>
      <c r="AQ27" s="3"/>
    </row>
    <row r="28" spans="3:43" x14ac:dyDescent="0.35">
      <c r="E28" s="27"/>
      <c r="F28" t="s">
        <v>196</v>
      </c>
      <c r="G28" t="s">
        <v>167</v>
      </c>
      <c r="H28" s="53"/>
      <c r="J28" s="21">
        <f>'Standing charge factors'!J49</f>
        <v>0</v>
      </c>
      <c r="K28" s="21">
        <f>'Standing charge factors'!K49</f>
        <v>0</v>
      </c>
      <c r="L28" s="21">
        <f>'Standing charge factors'!L49</f>
        <v>0</v>
      </c>
      <c r="M28" s="21">
        <f>'Standing charge factors'!M49</f>
        <v>0</v>
      </c>
      <c r="N28" s="21">
        <f>'Standing charge factors'!N49</f>
        <v>0</v>
      </c>
      <c r="O28" s="21">
        <f>'Standing charge factors'!O49</f>
        <v>0</v>
      </c>
      <c r="P28" s="21">
        <f>'Standing charge factors'!P49</f>
        <v>1</v>
      </c>
      <c r="Q28" s="21">
        <f>'Standing charge factors'!Q49</f>
        <v>0</v>
      </c>
      <c r="R28" s="21">
        <f>'Standing charge factors'!R49</f>
        <v>0</v>
      </c>
      <c r="S28" s="21">
        <f>'Standing charge factors'!S49</f>
        <v>0</v>
      </c>
      <c r="T28" s="21">
        <f>'Standing charge factors'!T49</f>
        <v>0</v>
      </c>
      <c r="U28" s="21">
        <f>'Standing charge factors'!U49</f>
        <v>0</v>
      </c>
      <c r="V28" s="21">
        <f>'Standing charge factors'!V49</f>
        <v>0</v>
      </c>
      <c r="W28" s="21">
        <f>'Standing charge factors'!W49</f>
        <v>0</v>
      </c>
      <c r="X28" s="21">
        <f>'Standing charge factors'!X49</f>
        <v>0</v>
      </c>
      <c r="Y28" s="21">
        <f>'Standing charge factors'!Y49</f>
        <v>0</v>
      </c>
      <c r="AQ28" s="3"/>
    </row>
    <row r="29" spans="3:43" x14ac:dyDescent="0.35">
      <c r="E29" s="27"/>
      <c r="F29" t="s">
        <v>197</v>
      </c>
      <c r="G29" t="s">
        <v>167</v>
      </c>
      <c r="H29" s="53"/>
      <c r="J29" s="21">
        <f>'Standing charge factors'!J50</f>
        <v>0</v>
      </c>
      <c r="K29" s="21">
        <f>'Standing charge factors'!K50</f>
        <v>0</v>
      </c>
      <c r="L29" s="21">
        <f>'Standing charge factors'!L50</f>
        <v>0</v>
      </c>
      <c r="M29" s="21">
        <f>'Standing charge factors'!M50</f>
        <v>0</v>
      </c>
      <c r="N29" s="21">
        <f>'Standing charge factors'!N50</f>
        <v>0.2</v>
      </c>
      <c r="O29" s="21">
        <f>'Standing charge factors'!O50</f>
        <v>1</v>
      </c>
      <c r="P29" s="21">
        <f>'Standing charge factors'!P50</f>
        <v>1</v>
      </c>
      <c r="Q29" s="21">
        <f>'Standing charge factors'!Q50</f>
        <v>0</v>
      </c>
      <c r="R29" s="21">
        <f>'Standing charge factors'!R50</f>
        <v>0</v>
      </c>
      <c r="S29" s="21">
        <f>'Standing charge factors'!S50</f>
        <v>0</v>
      </c>
      <c r="T29" s="21">
        <f>'Standing charge factors'!T50</f>
        <v>0</v>
      </c>
      <c r="U29" s="21">
        <f>'Standing charge factors'!U50</f>
        <v>0</v>
      </c>
      <c r="V29" s="21">
        <f>'Standing charge factors'!V50</f>
        <v>0</v>
      </c>
      <c r="W29" s="21">
        <f>'Standing charge factors'!W50</f>
        <v>0</v>
      </c>
      <c r="X29" s="21">
        <f>'Standing charge factors'!X50</f>
        <v>0</v>
      </c>
      <c r="Y29" s="21">
        <f>'Standing charge factors'!Y50</f>
        <v>0</v>
      </c>
      <c r="AQ29" s="3"/>
    </row>
    <row r="30" spans="3:43" x14ac:dyDescent="0.35">
      <c r="E30" s="27"/>
      <c r="F30" t="s">
        <v>198</v>
      </c>
      <c r="G30" t="s">
        <v>167</v>
      </c>
      <c r="H30" s="53"/>
      <c r="J30" s="21">
        <f>'Standing charge factors'!J51</f>
        <v>0</v>
      </c>
      <c r="K30" s="21">
        <f>'Standing charge factors'!K51</f>
        <v>0</v>
      </c>
      <c r="L30" s="21">
        <f>'Standing charge factors'!L51</f>
        <v>0</v>
      </c>
      <c r="M30" s="21">
        <f>'Standing charge factors'!M51</f>
        <v>0</v>
      </c>
      <c r="N30" s="21">
        <f>'Standing charge factors'!N51</f>
        <v>1</v>
      </c>
      <c r="O30" s="21">
        <f>'Standing charge factors'!O51</f>
        <v>1</v>
      </c>
      <c r="P30" s="21">
        <f>'Standing charge factors'!P51</f>
        <v>0</v>
      </c>
      <c r="Q30" s="21">
        <f>'Standing charge factors'!Q51</f>
        <v>0</v>
      </c>
      <c r="R30" s="21">
        <f>'Standing charge factors'!R51</f>
        <v>0</v>
      </c>
      <c r="S30" s="21">
        <f>'Standing charge factors'!S51</f>
        <v>0</v>
      </c>
      <c r="T30" s="21">
        <f>'Standing charge factors'!T51</f>
        <v>0</v>
      </c>
      <c r="U30" s="21">
        <f>'Standing charge factors'!U51</f>
        <v>0</v>
      </c>
      <c r="V30" s="21">
        <f>'Standing charge factors'!V51</f>
        <v>0</v>
      </c>
      <c r="W30" s="21">
        <f>'Standing charge factors'!W51</f>
        <v>0</v>
      </c>
      <c r="X30" s="21">
        <f>'Standing charge factors'!X51</f>
        <v>0</v>
      </c>
      <c r="Y30" s="21">
        <f>'Standing charge factors'!Y51</f>
        <v>0</v>
      </c>
      <c r="AQ30" s="3"/>
    </row>
    <row r="31" spans="3:43" x14ac:dyDescent="0.35">
      <c r="E31" s="27"/>
      <c r="F31" s="28" t="s">
        <v>199</v>
      </c>
      <c r="G31" s="28" t="s">
        <v>167</v>
      </c>
      <c r="H31" s="120"/>
      <c r="I31" s="28"/>
      <c r="J31" s="131">
        <f>'Standing charge factors'!J52</f>
        <v>1</v>
      </c>
      <c r="K31" s="131">
        <f>'Standing charge factors'!K52</f>
        <v>1</v>
      </c>
      <c r="L31" s="131">
        <f>'Standing charge factors'!L52</f>
        <v>1</v>
      </c>
      <c r="M31" s="131">
        <f>'Standing charge factors'!M52</f>
        <v>1</v>
      </c>
      <c r="N31" s="131">
        <f>'Standing charge factors'!N52</f>
        <v>1</v>
      </c>
      <c r="O31" s="131">
        <f>'Standing charge factors'!O52</f>
        <v>0</v>
      </c>
      <c r="P31" s="131">
        <f>'Standing charge factors'!P52</f>
        <v>0</v>
      </c>
      <c r="Q31" s="131">
        <f>'Standing charge factors'!Q52</f>
        <v>0</v>
      </c>
      <c r="R31" s="131">
        <f>'Standing charge factors'!R52</f>
        <v>0</v>
      </c>
      <c r="S31" s="131">
        <f>'Standing charge factors'!S52</f>
        <v>0</v>
      </c>
      <c r="T31" s="131">
        <f>'Standing charge factors'!T52</f>
        <v>0</v>
      </c>
      <c r="U31" s="131">
        <f>'Standing charge factors'!U52</f>
        <v>0</v>
      </c>
      <c r="V31" s="131">
        <f>'Standing charge factors'!V52</f>
        <v>0</v>
      </c>
      <c r="W31" s="131">
        <f>'Standing charge factors'!W52</f>
        <v>0</v>
      </c>
      <c r="X31" s="131">
        <f>'Standing charge factors'!X52</f>
        <v>0</v>
      </c>
      <c r="Y31" s="131">
        <f>'Standing charge factors'!Y52</f>
        <v>0</v>
      </c>
      <c r="AQ31" s="3"/>
    </row>
    <row r="32" spans="3:43" x14ac:dyDescent="0.35">
      <c r="E32" s="27"/>
      <c r="J32" s="53"/>
      <c r="K32" s="53"/>
      <c r="L32" s="53"/>
      <c r="M32" s="53"/>
      <c r="N32" s="53"/>
      <c r="O32" s="53"/>
      <c r="P32" s="53"/>
      <c r="Q32" s="53"/>
      <c r="R32" s="53"/>
      <c r="S32" s="53"/>
      <c r="T32" s="53"/>
      <c r="U32" s="53"/>
      <c r="V32" s="53"/>
      <c r="W32" s="53"/>
      <c r="X32" s="53"/>
      <c r="Y32" s="53"/>
      <c r="AQ32" s="3"/>
    </row>
    <row r="33" spans="5:43" x14ac:dyDescent="0.35">
      <c r="E33" s="27" t="s">
        <v>497</v>
      </c>
      <c r="I33" t="s">
        <v>154</v>
      </c>
      <c r="J33" s="53"/>
      <c r="K33" s="53"/>
      <c r="L33" s="53"/>
      <c r="M33" s="53"/>
      <c r="N33" s="53"/>
      <c r="O33" s="53"/>
      <c r="P33" s="53"/>
      <c r="Q33" s="53"/>
      <c r="R33" s="53"/>
      <c r="S33" s="53"/>
      <c r="T33" s="53"/>
      <c r="U33" s="53"/>
      <c r="V33" s="53"/>
      <c r="W33" s="53"/>
      <c r="X33" s="53"/>
      <c r="Y33" s="53"/>
      <c r="AA33" t="s">
        <v>498</v>
      </c>
      <c r="AQ33" s="3"/>
    </row>
    <row r="34" spans="5:43" x14ac:dyDescent="0.35">
      <c r="E34" s="27"/>
      <c r="F34" s="19" t="s">
        <v>191</v>
      </c>
      <c r="G34" s="19" t="s">
        <v>283</v>
      </c>
      <c r="H34" s="148"/>
      <c r="I34" s="148"/>
      <c r="J34" s="114">
        <f t="array" ref="J34:Y42">TRANSPOSE('Load &amp; loss characteristics'!K145:S160)</f>
        <v>1.0900000000000001</v>
      </c>
      <c r="K34" s="114">
        <v>1.0900000000000001</v>
      </c>
      <c r="L34" s="114">
        <v>1.0900000000000001</v>
      </c>
      <c r="M34" s="114">
        <v>1.0900000000000001</v>
      </c>
      <c r="N34" s="114">
        <v>1.0900000000000001</v>
      </c>
      <c r="O34" s="114">
        <v>1.0429999999999999</v>
      </c>
      <c r="P34" s="114">
        <v>1.0269999999999999</v>
      </c>
      <c r="Q34" s="114">
        <v>1.0900000000000001</v>
      </c>
      <c r="R34" s="114">
        <v>-1.0900000000000001</v>
      </c>
      <c r="S34" s="114">
        <v>-1.0429999999999999</v>
      </c>
      <c r="T34" s="114">
        <v>-1.0900000000000001</v>
      </c>
      <c r="U34" s="114">
        <v>-1.0900000000000001</v>
      </c>
      <c r="V34" s="114">
        <v>-1.0429999999999999</v>
      </c>
      <c r="W34" s="114">
        <v>-1.0429999999999999</v>
      </c>
      <c r="X34" s="114">
        <v>-1.0269999999999999</v>
      </c>
      <c r="Y34" s="114">
        <v>-1.0269999999999999</v>
      </c>
      <c r="AQ34" s="3"/>
    </row>
    <row r="35" spans="5:43" x14ac:dyDescent="0.35">
      <c r="E35" s="27"/>
      <c r="F35" t="s">
        <v>192</v>
      </c>
      <c r="G35" t="s">
        <v>283</v>
      </c>
      <c r="H35" s="79"/>
      <c r="I35" s="79"/>
      <c r="J35" s="110">
        <v>1.0900000000000001</v>
      </c>
      <c r="K35" s="110">
        <v>1.0900000000000001</v>
      </c>
      <c r="L35" s="110">
        <v>1.0900000000000001</v>
      </c>
      <c r="M35" s="110">
        <v>1.0900000000000001</v>
      </c>
      <c r="N35" s="110">
        <v>1.0900000000000001</v>
      </c>
      <c r="O35" s="110">
        <v>1.0429999999999999</v>
      </c>
      <c r="P35" s="110">
        <v>1.0269999999999999</v>
      </c>
      <c r="Q35" s="110">
        <v>1.0900000000000001</v>
      </c>
      <c r="R35" s="110">
        <v>-1.0900000000000001</v>
      </c>
      <c r="S35" s="110">
        <v>-1.0429999999999999</v>
      </c>
      <c r="T35" s="110">
        <v>-1.0900000000000001</v>
      </c>
      <c r="U35" s="110">
        <v>-1.0900000000000001</v>
      </c>
      <c r="V35" s="110">
        <v>-1.0429999999999999</v>
      </c>
      <c r="W35" s="110">
        <v>-1.0429999999999999</v>
      </c>
      <c r="X35" s="110">
        <v>-1.0269999999999999</v>
      </c>
      <c r="Y35" s="110">
        <v>-1.0269999999999999</v>
      </c>
      <c r="AQ35" s="3"/>
    </row>
    <row r="36" spans="5:43" x14ac:dyDescent="0.35">
      <c r="E36" s="27"/>
      <c r="F36" t="s">
        <v>193</v>
      </c>
      <c r="G36" t="s">
        <v>283</v>
      </c>
      <c r="H36" s="79"/>
      <c r="I36" s="79"/>
      <c r="J36" s="110">
        <v>1.0900000000000001</v>
      </c>
      <c r="K36" s="110">
        <v>1.0900000000000001</v>
      </c>
      <c r="L36" s="110">
        <v>1.0900000000000001</v>
      </c>
      <c r="M36" s="110">
        <v>1.0900000000000001</v>
      </c>
      <c r="N36" s="110">
        <v>1.0900000000000001</v>
      </c>
      <c r="O36" s="110">
        <v>1.0429999999999999</v>
      </c>
      <c r="P36" s="110">
        <v>1.0269999999999999</v>
      </c>
      <c r="Q36" s="110">
        <v>1.0900000000000001</v>
      </c>
      <c r="R36" s="110">
        <v>-1.0900000000000001</v>
      </c>
      <c r="S36" s="110">
        <v>-1.0429999999999999</v>
      </c>
      <c r="T36" s="110">
        <v>-1.0900000000000001</v>
      </c>
      <c r="U36" s="110">
        <v>-1.0900000000000001</v>
      </c>
      <c r="V36" s="110">
        <v>-1.0429999999999999</v>
      </c>
      <c r="W36" s="110">
        <v>-1.0429999999999999</v>
      </c>
      <c r="X36" s="110">
        <v>-1.0269999999999999</v>
      </c>
      <c r="Y36" s="110">
        <v>-1.0269999999999999</v>
      </c>
      <c r="AQ36" s="3"/>
    </row>
    <row r="37" spans="5:43" x14ac:dyDescent="0.35">
      <c r="E37" s="27"/>
      <c r="F37" t="s">
        <v>194</v>
      </c>
      <c r="G37" t="s">
        <v>283</v>
      </c>
      <c r="H37" s="79"/>
      <c r="I37" s="79"/>
      <c r="J37" s="110">
        <v>1.0900000000000001</v>
      </c>
      <c r="K37" s="110">
        <v>1.0900000000000001</v>
      </c>
      <c r="L37" s="110">
        <v>1.0900000000000001</v>
      </c>
      <c r="M37" s="110">
        <v>1.0900000000000001</v>
      </c>
      <c r="N37" s="110">
        <v>1.0900000000000001</v>
      </c>
      <c r="O37" s="110">
        <v>1.0429999999999999</v>
      </c>
      <c r="P37" s="110">
        <v>1.0269999999999999</v>
      </c>
      <c r="Q37" s="110">
        <v>1.0900000000000001</v>
      </c>
      <c r="R37" s="110">
        <v>-1.0900000000000001</v>
      </c>
      <c r="S37" s="110">
        <v>-1.0429999999999999</v>
      </c>
      <c r="T37" s="110">
        <v>-1.0900000000000001</v>
      </c>
      <c r="U37" s="110">
        <v>-1.0900000000000001</v>
      </c>
      <c r="V37" s="110">
        <v>-1.0429999999999999</v>
      </c>
      <c r="W37" s="110">
        <v>-1.0429999999999999</v>
      </c>
      <c r="X37" s="110">
        <v>-1.0269999999999999</v>
      </c>
      <c r="Y37" s="110">
        <v>-1.0269999999999999</v>
      </c>
      <c r="AQ37" s="3"/>
    </row>
    <row r="38" spans="5:43" x14ac:dyDescent="0.35">
      <c r="E38" s="27"/>
      <c r="F38" t="s">
        <v>195</v>
      </c>
      <c r="G38" t="s">
        <v>283</v>
      </c>
      <c r="H38" s="79"/>
      <c r="I38" s="79"/>
      <c r="J38" s="110">
        <v>1.0900000000000001</v>
      </c>
      <c r="K38" s="110">
        <v>1.0900000000000001</v>
      </c>
      <c r="L38" s="110">
        <v>1.0900000000000001</v>
      </c>
      <c r="M38" s="110">
        <v>1.0900000000000001</v>
      </c>
      <c r="N38" s="110">
        <v>1.0900000000000001</v>
      </c>
      <c r="O38" s="110">
        <v>1.0429999999999999</v>
      </c>
      <c r="P38" s="110">
        <v>1.0269999999999999</v>
      </c>
      <c r="Q38" s="110">
        <v>1.0900000000000001</v>
      </c>
      <c r="R38" s="110">
        <v>-1.0900000000000001</v>
      </c>
      <c r="S38" s="110">
        <v>-1.0429999999999999</v>
      </c>
      <c r="T38" s="110">
        <v>-1.0900000000000001</v>
      </c>
      <c r="U38" s="110">
        <v>-1.0900000000000001</v>
      </c>
      <c r="V38" s="110">
        <v>-1.0429999999999999</v>
      </c>
      <c r="W38" s="110">
        <v>-1.0429999999999999</v>
      </c>
      <c r="X38" s="110">
        <v>-1.0269999999999999</v>
      </c>
      <c r="Y38" s="110">
        <v>-1.0269999999999999</v>
      </c>
      <c r="AQ38" s="3"/>
    </row>
    <row r="39" spans="5:43" x14ac:dyDescent="0.35">
      <c r="E39" s="27"/>
      <c r="F39" t="s">
        <v>196</v>
      </c>
      <c r="G39" t="s">
        <v>283</v>
      </c>
      <c r="H39" s="79"/>
      <c r="I39" s="79"/>
      <c r="J39" s="110">
        <v>0</v>
      </c>
      <c r="K39" s="110">
        <v>0</v>
      </c>
      <c r="L39" s="110">
        <v>0</v>
      </c>
      <c r="M39" s="110">
        <v>0</v>
      </c>
      <c r="N39" s="110">
        <v>0</v>
      </c>
      <c r="O39" s="110">
        <v>0</v>
      </c>
      <c r="P39" s="110">
        <v>0</v>
      </c>
      <c r="Q39" s="110">
        <v>0</v>
      </c>
      <c r="R39" s="110">
        <v>0</v>
      </c>
      <c r="S39" s="110">
        <v>0</v>
      </c>
      <c r="T39" s="110">
        <v>0</v>
      </c>
      <c r="U39" s="110">
        <v>0</v>
      </c>
      <c r="V39" s="110">
        <v>0</v>
      </c>
      <c r="W39" s="110">
        <v>0</v>
      </c>
      <c r="X39" s="110">
        <v>0</v>
      </c>
      <c r="Y39" s="110">
        <v>0</v>
      </c>
      <c r="AQ39" s="3"/>
    </row>
    <row r="40" spans="5:43" x14ac:dyDescent="0.35">
      <c r="E40" s="27"/>
      <c r="F40" t="s">
        <v>197</v>
      </c>
      <c r="G40" t="s">
        <v>283</v>
      </c>
      <c r="H40" s="79"/>
      <c r="I40" s="79"/>
      <c r="J40" s="110">
        <v>1.0900000000000001</v>
      </c>
      <c r="K40" s="110">
        <v>1.0900000000000001</v>
      </c>
      <c r="L40" s="110">
        <v>1.0900000000000001</v>
      </c>
      <c r="M40" s="110">
        <v>1.0900000000000001</v>
      </c>
      <c r="N40" s="110">
        <v>1.0900000000000001</v>
      </c>
      <c r="O40" s="110">
        <v>1.0429999999999999</v>
      </c>
      <c r="P40" s="110">
        <v>1.0269999999999999</v>
      </c>
      <c r="Q40" s="110">
        <v>1.0900000000000001</v>
      </c>
      <c r="R40" s="110">
        <v>-1.0900000000000001</v>
      </c>
      <c r="S40" s="110">
        <v>-1.0429999999999999</v>
      </c>
      <c r="T40" s="110">
        <v>-1.0900000000000001</v>
      </c>
      <c r="U40" s="110">
        <v>-1.0900000000000001</v>
      </c>
      <c r="V40" s="110">
        <v>-1.0429999999999999</v>
      </c>
      <c r="W40" s="110">
        <v>-1.0429999999999999</v>
      </c>
      <c r="X40" s="110">
        <v>0</v>
      </c>
      <c r="Y40" s="110">
        <v>0</v>
      </c>
      <c r="AQ40" s="3"/>
    </row>
    <row r="41" spans="5:43" x14ac:dyDescent="0.35">
      <c r="E41" s="27"/>
      <c r="F41" t="s">
        <v>198</v>
      </c>
      <c r="G41" t="s">
        <v>283</v>
      </c>
      <c r="H41" s="79"/>
      <c r="I41" s="79"/>
      <c r="J41" s="110">
        <v>1.0900000000000001</v>
      </c>
      <c r="K41" s="110">
        <v>1.0900000000000001</v>
      </c>
      <c r="L41" s="110">
        <v>1.0900000000000001</v>
      </c>
      <c r="M41" s="110">
        <v>1.0900000000000001</v>
      </c>
      <c r="N41" s="110">
        <v>1.0900000000000001</v>
      </c>
      <c r="O41" s="110">
        <v>1.0429999999999999</v>
      </c>
      <c r="P41" s="110">
        <v>0</v>
      </c>
      <c r="Q41" s="110">
        <v>1.0900000000000001</v>
      </c>
      <c r="R41" s="110">
        <v>-1.0900000000000001</v>
      </c>
      <c r="S41" s="110">
        <v>0</v>
      </c>
      <c r="T41" s="110">
        <v>-1.0900000000000001</v>
      </c>
      <c r="U41" s="110">
        <v>-1.0900000000000001</v>
      </c>
      <c r="V41" s="110">
        <v>0</v>
      </c>
      <c r="W41" s="110">
        <v>0</v>
      </c>
      <c r="X41" s="110">
        <v>0</v>
      </c>
      <c r="Y41" s="110">
        <v>0</v>
      </c>
      <c r="AQ41" s="3"/>
    </row>
    <row r="42" spans="5:43" x14ac:dyDescent="0.35">
      <c r="E42" s="27"/>
      <c r="F42" s="28" t="s">
        <v>199</v>
      </c>
      <c r="G42" s="28" t="s">
        <v>283</v>
      </c>
      <c r="H42" s="72"/>
      <c r="I42" s="72"/>
      <c r="J42" s="115">
        <v>1.0900000000000001</v>
      </c>
      <c r="K42" s="115">
        <v>1.0900000000000001</v>
      </c>
      <c r="L42" s="115">
        <v>1.0900000000000001</v>
      </c>
      <c r="M42" s="115">
        <v>1.0900000000000001</v>
      </c>
      <c r="N42" s="115">
        <v>1.0900000000000001</v>
      </c>
      <c r="O42" s="115">
        <v>0</v>
      </c>
      <c r="P42" s="115">
        <v>0</v>
      </c>
      <c r="Q42" s="115">
        <v>1.0900000000000001</v>
      </c>
      <c r="R42" s="115">
        <v>0</v>
      </c>
      <c r="S42" s="115">
        <v>0</v>
      </c>
      <c r="T42" s="115">
        <v>0</v>
      </c>
      <c r="U42" s="115">
        <v>0</v>
      </c>
      <c r="V42" s="115">
        <v>0</v>
      </c>
      <c r="W42" s="115">
        <v>0</v>
      </c>
      <c r="X42" s="115">
        <v>0</v>
      </c>
      <c r="Y42" s="115">
        <v>0</v>
      </c>
      <c r="AQ42" s="3"/>
    </row>
    <row r="43" spans="5:43" x14ac:dyDescent="0.35">
      <c r="E43" s="27"/>
      <c r="H43" s="79"/>
      <c r="I43" s="79"/>
      <c r="J43" s="79"/>
      <c r="K43" s="79"/>
      <c r="L43" s="79"/>
      <c r="M43" s="79"/>
      <c r="N43" s="79"/>
      <c r="O43" s="79"/>
      <c r="P43" s="79"/>
      <c r="Q43" s="79"/>
      <c r="R43" s="79"/>
      <c r="S43" s="79"/>
      <c r="T43" s="79"/>
      <c r="U43" s="79"/>
      <c r="V43" s="79"/>
      <c r="W43" s="79"/>
      <c r="X43" s="79"/>
      <c r="Y43" s="79"/>
      <c r="AQ43" s="3"/>
    </row>
    <row r="44" spans="5:43" x14ac:dyDescent="0.35">
      <c r="E44" s="27" t="s">
        <v>499</v>
      </c>
      <c r="H44" s="79"/>
      <c r="I44" s="79"/>
      <c r="J44" s="79"/>
      <c r="K44" s="79"/>
      <c r="L44" s="79"/>
      <c r="M44" s="79"/>
      <c r="N44" s="79"/>
      <c r="O44" s="79"/>
      <c r="P44" s="79"/>
      <c r="Q44" s="79"/>
      <c r="R44" s="79"/>
      <c r="S44" s="79"/>
      <c r="T44" s="79"/>
      <c r="U44" s="79"/>
      <c r="V44" s="79"/>
      <c r="W44" s="79"/>
      <c r="X44" s="79"/>
      <c r="Y44" s="79"/>
      <c r="AQ44" s="3"/>
    </row>
    <row r="45" spans="5:43" x14ac:dyDescent="0.35">
      <c r="E45" s="27"/>
      <c r="F45" s="19" t="s">
        <v>191</v>
      </c>
      <c r="G45" s="19" t="s">
        <v>283</v>
      </c>
      <c r="H45" s="114">
        <f>'Load &amp; loss characteristics'!K29</f>
        <v>1</v>
      </c>
      <c r="I45" s="79"/>
      <c r="J45" s="79"/>
      <c r="K45" s="79"/>
      <c r="L45" s="79"/>
      <c r="M45" s="79"/>
      <c r="N45" s="79"/>
      <c r="O45" s="79"/>
      <c r="P45" s="79"/>
      <c r="Q45" s="79"/>
      <c r="R45" s="79"/>
      <c r="S45" s="79"/>
      <c r="T45" s="79"/>
      <c r="U45" s="79"/>
      <c r="V45" s="79"/>
      <c r="W45" s="79"/>
      <c r="X45" s="79"/>
      <c r="Y45" s="79"/>
      <c r="AQ45" s="3"/>
    </row>
    <row r="46" spans="5:43" x14ac:dyDescent="0.35">
      <c r="E46" s="27"/>
      <c r="F46" t="s">
        <v>192</v>
      </c>
      <c r="G46" t="s">
        <v>283</v>
      </c>
      <c r="H46" s="110">
        <f>'Load &amp; loss characteristics'!L29</f>
        <v>1.004</v>
      </c>
      <c r="I46" s="79"/>
      <c r="J46" s="79"/>
      <c r="K46" s="79"/>
      <c r="L46" s="79"/>
      <c r="M46" s="79"/>
      <c r="N46" s="79"/>
      <c r="O46" s="79"/>
      <c r="P46" s="79"/>
      <c r="Q46" s="79"/>
      <c r="R46" s="79"/>
      <c r="S46" s="79"/>
      <c r="T46" s="79"/>
      <c r="U46" s="79"/>
      <c r="V46" s="79"/>
      <c r="W46" s="79"/>
      <c r="X46" s="79"/>
      <c r="Y46" s="79"/>
      <c r="AQ46" s="3"/>
    </row>
    <row r="47" spans="5:43" x14ac:dyDescent="0.35">
      <c r="E47" s="27"/>
      <c r="F47" t="s">
        <v>193</v>
      </c>
      <c r="G47" t="s">
        <v>283</v>
      </c>
      <c r="H47" s="110">
        <f>'Load &amp; loss characteristics'!M29</f>
        <v>1.008</v>
      </c>
      <c r="I47" s="79"/>
      <c r="J47" s="79"/>
      <c r="K47" s="79"/>
      <c r="L47" s="79"/>
      <c r="M47" s="79"/>
      <c r="N47" s="79"/>
      <c r="O47" s="79"/>
      <c r="P47" s="79"/>
      <c r="Q47" s="79"/>
      <c r="R47" s="79"/>
      <c r="S47" s="79"/>
      <c r="T47" s="79"/>
      <c r="U47" s="79"/>
      <c r="V47" s="79"/>
      <c r="W47" s="79"/>
      <c r="X47" s="79"/>
      <c r="Y47" s="79"/>
      <c r="AQ47" s="3"/>
    </row>
    <row r="48" spans="5:43" x14ac:dyDescent="0.35">
      <c r="E48" s="27"/>
      <c r="F48" t="s">
        <v>194</v>
      </c>
      <c r="G48" t="s">
        <v>283</v>
      </c>
      <c r="H48" s="110">
        <f>'Load &amp; loss characteristics'!N29</f>
        <v>1.0129999999999999</v>
      </c>
      <c r="I48" s="79"/>
      <c r="J48" s="79"/>
      <c r="K48" s="79"/>
      <c r="L48" s="79"/>
      <c r="M48" s="79"/>
      <c r="N48" s="79"/>
      <c r="O48" s="79"/>
      <c r="P48" s="79"/>
      <c r="Q48" s="79"/>
      <c r="R48" s="79"/>
      <c r="S48" s="79"/>
      <c r="T48" s="79"/>
      <c r="U48" s="79"/>
      <c r="V48" s="79"/>
      <c r="W48" s="79"/>
      <c r="X48" s="79"/>
      <c r="Y48" s="79"/>
      <c r="AQ48" s="3"/>
    </row>
    <row r="49" spans="2:43" x14ac:dyDescent="0.35">
      <c r="E49" s="27"/>
      <c r="F49" t="s">
        <v>195</v>
      </c>
      <c r="G49" t="s">
        <v>283</v>
      </c>
      <c r="H49" s="110">
        <f>'Load &amp; loss characteristics'!O29</f>
        <v>1.018</v>
      </c>
      <c r="I49" s="79"/>
      <c r="J49" s="79"/>
      <c r="K49" s="79"/>
      <c r="L49" s="79"/>
      <c r="M49" s="79"/>
      <c r="N49" s="79"/>
      <c r="O49" s="79"/>
      <c r="P49" s="79"/>
      <c r="Q49" s="79"/>
      <c r="R49" s="79"/>
      <c r="S49" s="79"/>
      <c r="T49" s="79"/>
      <c r="U49" s="79"/>
      <c r="V49" s="79"/>
      <c r="W49" s="79"/>
      <c r="X49" s="79"/>
      <c r="Y49" s="79"/>
      <c r="AQ49" s="3"/>
    </row>
    <row r="50" spans="2:43" x14ac:dyDescent="0.35">
      <c r="E50" s="27"/>
      <c r="F50" t="s">
        <v>196</v>
      </c>
      <c r="G50" t="s">
        <v>283</v>
      </c>
      <c r="H50" s="110">
        <f>'Load &amp; loss characteristics'!P29</f>
        <v>1.018</v>
      </c>
      <c r="I50" s="79"/>
      <c r="J50" s="79"/>
      <c r="K50" s="79"/>
      <c r="L50" s="79"/>
      <c r="M50" s="79"/>
      <c r="N50" s="79"/>
      <c r="O50" s="79"/>
      <c r="P50" s="79"/>
      <c r="Q50" s="79"/>
      <c r="R50" s="79"/>
      <c r="S50" s="79"/>
      <c r="T50" s="79"/>
      <c r="U50" s="79"/>
      <c r="V50" s="79"/>
      <c r="W50" s="79"/>
      <c r="X50" s="79"/>
      <c r="Y50" s="79"/>
      <c r="AQ50" s="3"/>
    </row>
    <row r="51" spans="2:43" x14ac:dyDescent="0.35">
      <c r="E51" s="27"/>
      <c r="F51" t="s">
        <v>197</v>
      </c>
      <c r="G51" t="s">
        <v>283</v>
      </c>
      <c r="H51" s="110">
        <f>'Load &amp; loss characteristics'!Q29</f>
        <v>1.0269999999999999</v>
      </c>
      <c r="I51" s="79"/>
      <c r="J51" s="79"/>
      <c r="K51" s="79"/>
      <c r="L51" s="79"/>
      <c r="M51" s="79"/>
      <c r="N51" s="79"/>
      <c r="O51" s="79"/>
      <c r="P51" s="79"/>
      <c r="Q51" s="79"/>
      <c r="R51" s="79"/>
      <c r="S51" s="79"/>
      <c r="T51" s="79"/>
      <c r="U51" s="79"/>
      <c r="V51" s="79"/>
      <c r="W51" s="79"/>
      <c r="X51" s="79"/>
      <c r="Y51" s="79"/>
      <c r="AQ51" s="3"/>
    </row>
    <row r="52" spans="2:43" x14ac:dyDescent="0.35">
      <c r="E52" s="27"/>
      <c r="F52" t="s">
        <v>198</v>
      </c>
      <c r="G52" t="s">
        <v>283</v>
      </c>
      <c r="H52" s="110">
        <f>'Load &amp; loss characteristics'!R29</f>
        <v>1.0429999999999999</v>
      </c>
      <c r="I52" s="79"/>
      <c r="J52" s="79"/>
      <c r="K52" s="79"/>
      <c r="L52" s="79"/>
      <c r="M52" s="79"/>
      <c r="N52" s="79"/>
      <c r="O52" s="79"/>
      <c r="P52" s="79"/>
      <c r="Q52" s="79"/>
      <c r="R52" s="79"/>
      <c r="S52" s="79"/>
      <c r="T52" s="79"/>
      <c r="U52" s="79"/>
      <c r="V52" s="79"/>
      <c r="W52" s="79"/>
      <c r="X52" s="79"/>
      <c r="Y52" s="79"/>
      <c r="AQ52" s="3"/>
    </row>
    <row r="53" spans="2:43" x14ac:dyDescent="0.35">
      <c r="E53" s="27"/>
      <c r="F53" s="28" t="s">
        <v>199</v>
      </c>
      <c r="G53" s="28" t="s">
        <v>283</v>
      </c>
      <c r="H53" s="115">
        <f>'Load &amp; loss characteristics'!S29</f>
        <v>1.0900000000000001</v>
      </c>
      <c r="I53" s="79"/>
      <c r="J53" s="79"/>
      <c r="K53" s="79"/>
      <c r="L53" s="79"/>
      <c r="M53" s="79"/>
      <c r="N53" s="79"/>
      <c r="O53" s="79"/>
      <c r="P53" s="79"/>
      <c r="Q53" s="79"/>
      <c r="R53" s="79"/>
      <c r="S53" s="79"/>
      <c r="T53" s="79"/>
      <c r="U53" s="79"/>
      <c r="V53" s="79"/>
      <c r="W53" s="79"/>
      <c r="X53" s="79"/>
      <c r="Y53" s="79"/>
      <c r="AQ53" s="3"/>
    </row>
    <row r="54" spans="2:43" x14ac:dyDescent="0.35">
      <c r="E54" s="27"/>
      <c r="H54" s="79"/>
      <c r="I54" s="79"/>
      <c r="J54" s="79"/>
      <c r="K54" s="79"/>
      <c r="L54" s="79"/>
      <c r="M54" s="79"/>
      <c r="N54" s="79"/>
      <c r="O54" s="79"/>
      <c r="P54" s="79"/>
      <c r="Q54" s="79"/>
      <c r="R54" s="79"/>
      <c r="S54" s="79"/>
      <c r="T54" s="79"/>
      <c r="U54" s="79"/>
      <c r="V54" s="79"/>
      <c r="W54" s="79"/>
      <c r="X54" s="79"/>
      <c r="Y54" s="79"/>
      <c r="AQ54" s="3"/>
    </row>
    <row r="55" spans="2:43" x14ac:dyDescent="0.35">
      <c r="E55" s="27" t="s">
        <v>500</v>
      </c>
      <c r="H55" s="79"/>
      <c r="I55" s="79" t="s">
        <v>154</v>
      </c>
      <c r="J55" s="79"/>
      <c r="K55" s="79"/>
      <c r="L55" s="79"/>
      <c r="M55" s="79"/>
      <c r="N55" s="79"/>
      <c r="O55" s="79"/>
      <c r="P55" s="79"/>
      <c r="Q55" s="79"/>
      <c r="R55" s="79"/>
      <c r="S55" s="79"/>
      <c r="T55" s="79"/>
      <c r="U55" s="79"/>
      <c r="V55" s="79"/>
      <c r="W55" s="79"/>
      <c r="X55" s="79"/>
      <c r="Y55" s="79"/>
      <c r="AA55" t="s">
        <v>501</v>
      </c>
    </row>
    <row r="56" spans="2:43" x14ac:dyDescent="0.35">
      <c r="E56" s="27"/>
      <c r="F56" s="19" t="s">
        <v>156</v>
      </c>
      <c r="G56" s="19" t="s">
        <v>207</v>
      </c>
      <c r="H56" s="148"/>
      <c r="I56" s="148"/>
      <c r="J56" s="114">
        <f>'Volume adjustments'!J238</f>
        <v>1195141.300122248</v>
      </c>
      <c r="K56" s="114">
        <f>'Volume adjustments'!K238</f>
        <v>385.85428212338678</v>
      </c>
      <c r="L56" s="114">
        <f>'Volume adjustments'!L238</f>
        <v>306610.07946500048</v>
      </c>
      <c r="M56" s="114">
        <f>'Volume adjustments'!M238</f>
        <v>622.21371742398651</v>
      </c>
      <c r="N56" s="114">
        <f>'Volume adjustments'!N238</f>
        <v>507627.89091275056</v>
      </c>
      <c r="O56" s="114">
        <f>'Volume adjustments'!O238</f>
        <v>30024.274193225458</v>
      </c>
      <c r="P56" s="114">
        <f>'Volume adjustments'!P238</f>
        <v>381698.94877583603</v>
      </c>
      <c r="Q56" s="114">
        <f>'Volume adjustments'!Q238</f>
        <v>9390.0610476398779</v>
      </c>
      <c r="R56" s="114">
        <f>'Volume adjustments'!R238</f>
        <v>952.63299999999981</v>
      </c>
      <c r="S56" s="114">
        <f>'Volume adjustments'!S238</f>
        <v>34.794999999999995</v>
      </c>
      <c r="T56" s="114">
        <f>'Volume adjustments'!T238</f>
        <v>4651.0746980075764</v>
      </c>
      <c r="U56" s="114">
        <f>'Volume adjustments'!U238</f>
        <v>0</v>
      </c>
      <c r="V56" s="114">
        <f>'Volume adjustments'!V238</f>
        <v>0</v>
      </c>
      <c r="W56" s="114">
        <f>'Volume adjustments'!W238</f>
        <v>0</v>
      </c>
      <c r="X56" s="114">
        <f>'Volume adjustments'!X238</f>
        <v>83725.653155247186</v>
      </c>
      <c r="Y56" s="114">
        <f>'Volume adjustments'!Y238</f>
        <v>0</v>
      </c>
      <c r="AQ56" s="3"/>
    </row>
    <row r="57" spans="2:43" x14ac:dyDescent="0.35">
      <c r="E57" s="27"/>
      <c r="F57" t="s">
        <v>157</v>
      </c>
      <c r="G57" t="s">
        <v>207</v>
      </c>
      <c r="H57" s="79"/>
      <c r="I57" s="79"/>
      <c r="J57" s="110">
        <f>'Volume adjustments'!J249</f>
        <v>5245246.7360017952</v>
      </c>
      <c r="K57" s="110">
        <f>'Volume adjustments'!K249</f>
        <v>37493.164568451517</v>
      </c>
      <c r="L57" s="110">
        <f>'Volume adjustments'!L249</f>
        <v>1938276.5616068235</v>
      </c>
      <c r="M57" s="110">
        <f>'Volume adjustments'!M249</f>
        <v>7925.7233535387522</v>
      </c>
      <c r="N57" s="110">
        <f>'Volume adjustments'!N249</f>
        <v>2920133.3574268813</v>
      </c>
      <c r="O57" s="110">
        <f>'Volume adjustments'!O249</f>
        <v>170233.34532851295</v>
      </c>
      <c r="P57" s="110">
        <f>'Volume adjustments'!P249</f>
        <v>2145404.0889467075</v>
      </c>
      <c r="Q57" s="110">
        <f>'Volume adjustments'!Q249</f>
        <v>68698.296662678986</v>
      </c>
      <c r="R57" s="110">
        <f>'Volume adjustments'!R249</f>
        <v>8088.5750000000007</v>
      </c>
      <c r="S57" s="110">
        <f>'Volume adjustments'!S249</f>
        <v>170.797</v>
      </c>
      <c r="T57" s="110">
        <f>'Volume adjustments'!T249</f>
        <v>36562.572785299533</v>
      </c>
      <c r="U57" s="110">
        <f>'Volume adjustments'!U249</f>
        <v>0</v>
      </c>
      <c r="V57" s="110">
        <f>'Volume adjustments'!V249</f>
        <v>0</v>
      </c>
      <c r="W57" s="110">
        <f>'Volume adjustments'!W249</f>
        <v>0</v>
      </c>
      <c r="X57" s="110">
        <f>'Volume adjustments'!X249</f>
        <v>532059.97125989269</v>
      </c>
      <c r="Y57" s="110">
        <f>'Volume adjustments'!Y249</f>
        <v>0</v>
      </c>
      <c r="AQ57" s="3"/>
    </row>
    <row r="58" spans="2:43" x14ac:dyDescent="0.35">
      <c r="E58" s="27"/>
      <c r="F58" s="28" t="s">
        <v>158</v>
      </c>
      <c r="G58" s="28" t="s">
        <v>207</v>
      </c>
      <c r="H58" s="72"/>
      <c r="I58" s="72"/>
      <c r="J58" s="115">
        <f>'Volume adjustments'!J260</f>
        <v>2888603.6716125715</v>
      </c>
      <c r="K58" s="115">
        <f>'Volume adjustments'!K260</f>
        <v>91372.316099402669</v>
      </c>
      <c r="L58" s="115">
        <f>'Volume adjustments'!L260</f>
        <v>922830.31988349603</v>
      </c>
      <c r="M58" s="115">
        <f>'Volume adjustments'!M260</f>
        <v>25560.92942792672</v>
      </c>
      <c r="N58" s="115">
        <f>'Volume adjustments'!N260</f>
        <v>1606447.8189767241</v>
      </c>
      <c r="O58" s="115">
        <f>'Volume adjustments'!O260</f>
        <v>112066.97919290072</v>
      </c>
      <c r="P58" s="115">
        <f>'Volume adjustments'!P260</f>
        <v>1478741.4093654291</v>
      </c>
      <c r="Q58" s="115">
        <f>'Volume adjustments'!Q260</f>
        <v>107386.00037173675</v>
      </c>
      <c r="R58" s="115">
        <f>'Volume adjustments'!R260</f>
        <v>812.69199999999978</v>
      </c>
      <c r="S58" s="115">
        <f>'Volume adjustments'!S260</f>
        <v>24.104999999999997</v>
      </c>
      <c r="T58" s="115">
        <f>'Volume adjustments'!T260</f>
        <v>11217.299058567434</v>
      </c>
      <c r="U58" s="115">
        <f>'Volume adjustments'!U260</f>
        <v>0</v>
      </c>
      <c r="V58" s="115">
        <f>'Volume adjustments'!V260</f>
        <v>0</v>
      </c>
      <c r="W58" s="115">
        <f>'Volume adjustments'!W260</f>
        <v>0</v>
      </c>
      <c r="X58" s="115">
        <f>'Volume adjustments'!X260</f>
        <v>252499.59274264879</v>
      </c>
      <c r="Y58" s="115">
        <f>'Volume adjustments'!Y260</f>
        <v>0</v>
      </c>
      <c r="AQ58" s="3"/>
    </row>
    <row r="59" spans="2:43" x14ac:dyDescent="0.35">
      <c r="E59" s="27"/>
      <c r="F59" s="98" t="s">
        <v>502</v>
      </c>
      <c r="G59" s="98" t="s">
        <v>207</v>
      </c>
      <c r="H59" s="157"/>
      <c r="I59" s="157"/>
      <c r="J59" s="157">
        <f t="shared" ref="J59:Y59" si="0">SUM(J56:J58)</f>
        <v>9328991.7077366151</v>
      </c>
      <c r="K59" s="157">
        <f t="shared" si="0"/>
        <v>129251.33494997758</v>
      </c>
      <c r="L59" s="157">
        <f t="shared" si="0"/>
        <v>3167716.9609553199</v>
      </c>
      <c r="M59" s="157">
        <f t="shared" si="0"/>
        <v>34108.86649888946</v>
      </c>
      <c r="N59" s="157">
        <f t="shared" si="0"/>
        <v>5034209.0673163561</v>
      </c>
      <c r="O59" s="157">
        <f t="shared" si="0"/>
        <v>312324.59871463914</v>
      </c>
      <c r="P59" s="157">
        <f t="shared" si="0"/>
        <v>4005844.4470879729</v>
      </c>
      <c r="Q59" s="157">
        <f t="shared" si="0"/>
        <v>185474.35808205561</v>
      </c>
      <c r="R59" s="157">
        <f t="shared" si="0"/>
        <v>9853.9</v>
      </c>
      <c r="S59" s="157">
        <f t="shared" si="0"/>
        <v>229.69699999999997</v>
      </c>
      <c r="T59" s="157">
        <f t="shared" si="0"/>
        <v>52430.946541874546</v>
      </c>
      <c r="U59" s="157">
        <f t="shared" si="0"/>
        <v>0</v>
      </c>
      <c r="V59" s="157">
        <f t="shared" si="0"/>
        <v>0</v>
      </c>
      <c r="W59" s="157">
        <f t="shared" si="0"/>
        <v>0</v>
      </c>
      <c r="X59" s="157">
        <f t="shared" si="0"/>
        <v>868285.21715778869</v>
      </c>
      <c r="Y59" s="157">
        <f t="shared" si="0"/>
        <v>0</v>
      </c>
      <c r="AQ59" s="3"/>
    </row>
    <row r="60" spans="2:43" x14ac:dyDescent="0.35">
      <c r="D60" s="27"/>
      <c r="J60" s="53"/>
      <c r="L60" s="53"/>
      <c r="AQ60" s="3"/>
    </row>
    <row r="61" spans="2:43" x14ac:dyDescent="0.35">
      <c r="C61" s="27"/>
      <c r="E61" s="23" t="s">
        <v>241</v>
      </c>
      <c r="F61" s="23"/>
      <c r="G61" s="23" t="s">
        <v>167</v>
      </c>
      <c r="I61" t="s">
        <v>154</v>
      </c>
      <c r="J61" s="21">
        <f>'Inputs by customer type'!J15</f>
        <v>0.43647581417465237</v>
      </c>
      <c r="K61" s="21">
        <f>'Inputs by customer type'!K15</f>
        <v>7.6307183224827949E-2</v>
      </c>
      <c r="L61" s="21">
        <f>'Inputs by customer type'!L15</f>
        <v>0.42111901595678969</v>
      </c>
      <c r="M61" s="21">
        <f>'Inputs by customer type'!M15</f>
        <v>0.19113264434928934</v>
      </c>
      <c r="N61" s="21">
        <f>'Inputs by customer type'!N15</f>
        <v>0.56341638897209079</v>
      </c>
      <c r="O61" s="21">
        <f>'Inputs by customer type'!O15</f>
        <v>0.70966488981913878</v>
      </c>
      <c r="P61" s="21">
        <f>'Inputs by customer type'!P15</f>
        <v>0.69905734888928583</v>
      </c>
      <c r="Q61" s="21">
        <f>'Inputs by customer type'!Q15</f>
        <v>0.46565619046428203</v>
      </c>
      <c r="R61" s="60"/>
      <c r="S61" s="60"/>
      <c r="T61" s="60"/>
      <c r="U61" s="60"/>
      <c r="V61" s="60"/>
      <c r="W61" s="60"/>
      <c r="X61" s="60"/>
      <c r="Y61" s="60"/>
      <c r="AA61" t="s">
        <v>503</v>
      </c>
      <c r="AQ61" s="3"/>
    </row>
    <row r="63" spans="2:43" x14ac:dyDescent="0.35">
      <c r="B63" s="25" t="s">
        <v>504</v>
      </c>
      <c r="C63" s="25"/>
      <c r="D63" s="25"/>
      <c r="E63" s="25"/>
      <c r="F63" s="25"/>
      <c r="G63" s="25"/>
      <c r="H63" s="25"/>
      <c r="I63" s="25"/>
      <c r="J63" s="123"/>
      <c r="K63" s="25"/>
      <c r="L63" s="123"/>
      <c r="M63" s="25"/>
      <c r="N63" s="25"/>
      <c r="O63" s="25"/>
      <c r="P63" s="25"/>
      <c r="Q63" s="25"/>
      <c r="R63" s="25"/>
      <c r="S63" s="25"/>
      <c r="T63" s="25"/>
      <c r="U63" s="25"/>
      <c r="V63" s="25"/>
      <c r="W63" s="25"/>
      <c r="X63" s="25"/>
      <c r="Y63" s="25"/>
      <c r="Z63" s="25"/>
      <c r="AA63" s="25"/>
      <c r="AQ63" s="3"/>
    </row>
    <row r="64" spans="2:43" x14ac:dyDescent="0.35">
      <c r="C64" s="27"/>
      <c r="J64" s="53"/>
      <c r="L64" s="53"/>
      <c r="AQ64" s="3"/>
    </row>
    <row r="65" spans="3:43" x14ac:dyDescent="0.35">
      <c r="C65" s="24" t="s">
        <v>505</v>
      </c>
      <c r="J65" s="53"/>
      <c r="L65" s="53"/>
      <c r="AQ65" s="3"/>
    </row>
    <row r="66" spans="3:43" x14ac:dyDescent="0.35">
      <c r="C66" s="27"/>
      <c r="J66" s="53"/>
      <c r="L66" s="53"/>
      <c r="AQ66" s="3"/>
    </row>
    <row r="67" spans="3:43" x14ac:dyDescent="0.35">
      <c r="C67" s="26" t="str">
        <f ca="1">INDEX('Version control'!$H$38:$H$61,MATCH($A$1,'Version control'!$F$38:$F$61,0),1)&amp;"-B: System peak load, by unit rate"</f>
        <v>Section 106-B: System peak load, by unit rate</v>
      </c>
      <c r="D67" s="26"/>
      <c r="E67" s="26"/>
      <c r="F67" s="26"/>
      <c r="G67" s="26"/>
      <c r="H67" s="26"/>
      <c r="I67" s="26"/>
      <c r="J67" s="26"/>
      <c r="K67" s="26"/>
      <c r="L67" s="26"/>
      <c r="M67" s="26"/>
      <c r="N67" s="26"/>
      <c r="O67" s="26"/>
      <c r="P67" s="26"/>
      <c r="Q67" s="26"/>
      <c r="R67" s="26"/>
      <c r="S67" s="26"/>
      <c r="T67" s="26"/>
      <c r="U67" s="26"/>
      <c r="V67" s="26"/>
      <c r="W67" s="26"/>
      <c r="X67" s="26"/>
      <c r="Y67" s="26"/>
      <c r="Z67" s="26"/>
      <c r="AA67" s="26"/>
      <c r="AQ67" s="3"/>
    </row>
    <row r="68" spans="3:43" x14ac:dyDescent="0.35">
      <c r="H68" s="53"/>
      <c r="J68" s="53"/>
      <c r="K68" s="53"/>
      <c r="L68" s="53"/>
      <c r="M68" s="53"/>
      <c r="N68" s="53"/>
      <c r="O68" s="53"/>
      <c r="P68" s="53"/>
      <c r="Q68" s="53"/>
      <c r="R68" s="53"/>
      <c r="S68" s="53"/>
      <c r="T68" s="53"/>
      <c r="U68" s="53"/>
      <c r="V68" s="53"/>
      <c r="W68" s="53"/>
      <c r="X68" s="53"/>
      <c r="Y68" s="53"/>
    </row>
    <row r="69" spans="3:43" x14ac:dyDescent="0.35">
      <c r="E69" s="27" t="s">
        <v>506</v>
      </c>
      <c r="J69" s="53"/>
      <c r="L69" s="53"/>
      <c r="AQ69" s="3"/>
    </row>
    <row r="70" spans="3:43" x14ac:dyDescent="0.35">
      <c r="E70" s="27"/>
      <c r="F70" s="19" t="s">
        <v>191</v>
      </c>
      <c r="G70" s="19" t="s">
        <v>283</v>
      </c>
      <c r="H70" s="19"/>
      <c r="I70" s="19"/>
      <c r="J70" s="114">
        <f>'Pseudo-load coefficients'!J272</f>
        <v>14.162832653707317</v>
      </c>
      <c r="K70" s="114">
        <f>'Pseudo-load coefficients'!K272</f>
        <v>14.162832653707317</v>
      </c>
      <c r="L70" s="114">
        <f>'Pseudo-load coefficients'!L272</f>
        <v>13.248132319404277</v>
      </c>
      <c r="M70" s="114">
        <f>'Pseudo-load coefficients'!M272</f>
        <v>13.248132319404277</v>
      </c>
      <c r="N70" s="114">
        <f>'Pseudo-load coefficients'!N272</f>
        <v>11.653597141810128</v>
      </c>
      <c r="O70" s="114">
        <f>'Pseudo-load coefficients'!O272</f>
        <v>9.9074217699409211</v>
      </c>
      <c r="P70" s="114">
        <f>'Pseudo-load coefficients'!P272</f>
        <v>10.2015501691212</v>
      </c>
      <c r="Q70" s="114">
        <f>'Pseudo-load coefficients'!Q272</f>
        <v>27.374811832433448</v>
      </c>
      <c r="R70" s="114">
        <f>'Pseudo-load coefficients'!R272</f>
        <v>9.830576642437304</v>
      </c>
      <c r="S70" s="114">
        <f>'Pseudo-load coefficients'!S272</f>
        <v>9.830576642437304</v>
      </c>
      <c r="T70" s="114">
        <f>'Pseudo-load coefficients'!T272</f>
        <v>9.830576642437304</v>
      </c>
      <c r="U70" s="114">
        <f>'Pseudo-load coefficients'!U272</f>
        <v>9.830576642437304</v>
      </c>
      <c r="V70" s="114">
        <f>'Pseudo-load coefficients'!V272</f>
        <v>9.830576642437304</v>
      </c>
      <c r="W70" s="114">
        <f>'Pseudo-load coefficients'!W272</f>
        <v>9.830576642437304</v>
      </c>
      <c r="X70" s="114">
        <f>'Pseudo-load coefficients'!X272</f>
        <v>9.830576642437304</v>
      </c>
      <c r="Y70" s="114">
        <f>'Pseudo-load coefficients'!Y272</f>
        <v>9.830576642437304</v>
      </c>
      <c r="AQ70" s="3"/>
    </row>
    <row r="71" spans="3:43" x14ac:dyDescent="0.35">
      <c r="E71" s="27"/>
      <c r="F71" t="s">
        <v>192</v>
      </c>
      <c r="G71" t="s">
        <v>283</v>
      </c>
      <c r="J71" s="110">
        <f>'Pseudo-load coefficients'!J273</f>
        <v>11.985481202786078</v>
      </c>
      <c r="K71" s="110">
        <f>'Pseudo-load coefficients'!K273</f>
        <v>11.985481202786078</v>
      </c>
      <c r="L71" s="110">
        <f>'Pseudo-load coefficients'!L273</f>
        <v>11.211404156828646</v>
      </c>
      <c r="M71" s="110">
        <f>'Pseudo-load coefficients'!M273</f>
        <v>11.211404156828646</v>
      </c>
      <c r="N71" s="110">
        <f>'Pseudo-load coefficients'!N273</f>
        <v>9.8620080391506466</v>
      </c>
      <c r="O71" s="110">
        <f>'Pseudo-load coefficients'!O273</f>
        <v>8.3842844362506312</v>
      </c>
      <c r="P71" s="110">
        <f>'Pseudo-load coefficients'!P273</f>
        <v>8.6331944167451056</v>
      </c>
      <c r="Q71" s="110">
        <f>'Pseudo-load coefficients'!Q273</f>
        <v>26.525004355553868</v>
      </c>
      <c r="R71" s="110">
        <f>'Pseudo-load coefficients'!R273</f>
        <v>8.3192532483703445</v>
      </c>
      <c r="S71" s="110">
        <f>'Pseudo-load coefficients'!S273</f>
        <v>8.3192532483703445</v>
      </c>
      <c r="T71" s="110">
        <f>'Pseudo-load coefficients'!T273</f>
        <v>8.3192532483703445</v>
      </c>
      <c r="U71" s="110">
        <f>'Pseudo-load coefficients'!U273</f>
        <v>8.3192532483703445</v>
      </c>
      <c r="V71" s="110">
        <f>'Pseudo-load coefficients'!V273</f>
        <v>8.3192532483703445</v>
      </c>
      <c r="W71" s="110">
        <f>'Pseudo-load coefficients'!W273</f>
        <v>8.3192532483703445</v>
      </c>
      <c r="X71" s="110">
        <f>'Pseudo-load coefficients'!X273</f>
        <v>8.3192532483703445</v>
      </c>
      <c r="Y71" s="110">
        <f>'Pseudo-load coefficients'!Y273</f>
        <v>8.3192532483703445</v>
      </c>
      <c r="AQ71" s="3"/>
    </row>
    <row r="72" spans="3:43" x14ac:dyDescent="0.35">
      <c r="E72" s="27"/>
      <c r="F72" t="s">
        <v>193</v>
      </c>
      <c r="G72" t="s">
        <v>283</v>
      </c>
      <c r="J72" s="110">
        <f>'Pseudo-load coefficients'!J274</f>
        <v>11.985481202786078</v>
      </c>
      <c r="K72" s="110">
        <f>'Pseudo-load coefficients'!K274</f>
        <v>11.985481202786078</v>
      </c>
      <c r="L72" s="110">
        <f>'Pseudo-load coefficients'!L274</f>
        <v>11.211404156828646</v>
      </c>
      <c r="M72" s="110">
        <f>'Pseudo-load coefficients'!M274</f>
        <v>11.211404156828646</v>
      </c>
      <c r="N72" s="110">
        <f>'Pseudo-load coefficients'!N274</f>
        <v>9.8620080391506466</v>
      </c>
      <c r="O72" s="110">
        <f>'Pseudo-load coefficients'!O274</f>
        <v>8.3842844362506312</v>
      </c>
      <c r="P72" s="110">
        <f>'Pseudo-load coefficients'!P274</f>
        <v>8.6331944167451056</v>
      </c>
      <c r="Q72" s="110">
        <f>'Pseudo-load coefficients'!Q274</f>
        <v>26.525004355553868</v>
      </c>
      <c r="R72" s="110">
        <f>'Pseudo-load coefficients'!R274</f>
        <v>8.3192532483703445</v>
      </c>
      <c r="S72" s="110">
        <f>'Pseudo-load coefficients'!S274</f>
        <v>8.3192532483703445</v>
      </c>
      <c r="T72" s="110">
        <f>'Pseudo-load coefficients'!T274</f>
        <v>8.3192532483703445</v>
      </c>
      <c r="U72" s="110">
        <f>'Pseudo-load coefficients'!U274</f>
        <v>8.3192532483703445</v>
      </c>
      <c r="V72" s="110">
        <f>'Pseudo-load coefficients'!V274</f>
        <v>8.3192532483703445</v>
      </c>
      <c r="W72" s="110">
        <f>'Pseudo-load coefficients'!W274</f>
        <v>8.3192532483703445</v>
      </c>
      <c r="X72" s="110">
        <f>'Pseudo-load coefficients'!X274</f>
        <v>8.3192532483703445</v>
      </c>
      <c r="Y72" s="110">
        <f>'Pseudo-load coefficients'!Y274</f>
        <v>8.3192532483703445</v>
      </c>
      <c r="AQ72" s="3"/>
    </row>
    <row r="73" spans="3:43" x14ac:dyDescent="0.35">
      <c r="E73" s="27"/>
      <c r="F73" t="s">
        <v>194</v>
      </c>
      <c r="G73" t="s">
        <v>283</v>
      </c>
      <c r="J73" s="110">
        <f>'Pseudo-load coefficients'!J275</f>
        <v>9.9952726779436443</v>
      </c>
      <c r="K73" s="110">
        <f>'Pseudo-load coefficients'!K275</f>
        <v>9.9952726779436443</v>
      </c>
      <c r="L73" s="110">
        <f>'Pseudo-load coefficients'!L275</f>
        <v>9.34973237654272</v>
      </c>
      <c r="M73" s="110">
        <f>'Pseudo-load coefficients'!M275</f>
        <v>9.34973237654272</v>
      </c>
      <c r="N73" s="110">
        <f>'Pseudo-load coefficients'!N275</f>
        <v>8.2244056651199955</v>
      </c>
      <c r="O73" s="110">
        <f>'Pseudo-load coefficients'!O275</f>
        <v>6.9920604548012344</v>
      </c>
      <c r="P73" s="110">
        <f>'Pseudo-load coefficients'!P275</f>
        <v>7.1996385307424475</v>
      </c>
      <c r="Q73" s="110">
        <f>'Pseudo-load coefficients'!Q275</f>
        <v>22.07877832040867</v>
      </c>
      <c r="R73" s="110">
        <f>'Pseudo-load coefficients'!R275</f>
        <v>6.9378278007728795</v>
      </c>
      <c r="S73" s="110">
        <f>'Pseudo-load coefficients'!S275</f>
        <v>6.9378278007728795</v>
      </c>
      <c r="T73" s="110">
        <f>'Pseudo-load coefficients'!T275</f>
        <v>6.9378278007728795</v>
      </c>
      <c r="U73" s="110">
        <f>'Pseudo-load coefficients'!U275</f>
        <v>6.9378278007728795</v>
      </c>
      <c r="V73" s="110">
        <f>'Pseudo-load coefficients'!V275</f>
        <v>6.9378278007728795</v>
      </c>
      <c r="W73" s="110">
        <f>'Pseudo-load coefficients'!W275</f>
        <v>6.9378278007728795</v>
      </c>
      <c r="X73" s="110">
        <f>'Pseudo-load coefficients'!X275</f>
        <v>6.9378278007728795</v>
      </c>
      <c r="Y73" s="110">
        <f>'Pseudo-load coefficients'!Y275</f>
        <v>6.9378278007728795</v>
      </c>
      <c r="AQ73" s="3"/>
    </row>
    <row r="74" spans="3:43" x14ac:dyDescent="0.35">
      <c r="E74" s="27"/>
      <c r="F74" t="s">
        <v>195</v>
      </c>
      <c r="G74" t="s">
        <v>283</v>
      </c>
      <c r="J74" s="110">
        <f>'Pseudo-load coefficients'!J276</f>
        <v>9.9952726779436443</v>
      </c>
      <c r="K74" s="110">
        <f>'Pseudo-load coefficients'!K276</f>
        <v>9.9952726779436443</v>
      </c>
      <c r="L74" s="110">
        <f>'Pseudo-load coefficients'!L276</f>
        <v>9.34973237654272</v>
      </c>
      <c r="M74" s="110">
        <f>'Pseudo-load coefficients'!M276</f>
        <v>9.34973237654272</v>
      </c>
      <c r="N74" s="110">
        <f>'Pseudo-load coefficients'!N276</f>
        <v>8.2244056651199955</v>
      </c>
      <c r="O74" s="110">
        <f>'Pseudo-load coefficients'!O276</f>
        <v>6.9920604548012344</v>
      </c>
      <c r="P74" s="110">
        <f>'Pseudo-load coefficients'!P276</f>
        <v>7.1996385307424475</v>
      </c>
      <c r="Q74" s="110">
        <f>'Pseudo-load coefficients'!Q276</f>
        <v>22.07877832040867</v>
      </c>
      <c r="R74" s="110">
        <f>'Pseudo-load coefficients'!R276</f>
        <v>6.9378278007728795</v>
      </c>
      <c r="S74" s="110">
        <f>'Pseudo-load coefficients'!S276</f>
        <v>6.9378278007728795</v>
      </c>
      <c r="T74" s="110">
        <f>'Pseudo-load coefficients'!T276</f>
        <v>6.9378278007728795</v>
      </c>
      <c r="U74" s="110">
        <f>'Pseudo-load coefficients'!U276</f>
        <v>6.9378278007728795</v>
      </c>
      <c r="V74" s="110">
        <f>'Pseudo-load coefficients'!V276</f>
        <v>6.9378278007728795</v>
      </c>
      <c r="W74" s="110">
        <f>'Pseudo-load coefficients'!W276</f>
        <v>6.9378278007728795</v>
      </c>
      <c r="X74" s="110">
        <f>'Pseudo-load coefficients'!X276</f>
        <v>6.9378278007728795</v>
      </c>
      <c r="Y74" s="110">
        <f>'Pseudo-load coefficients'!Y276</f>
        <v>6.9378278007728795</v>
      </c>
      <c r="AQ74" s="3"/>
    </row>
    <row r="75" spans="3:43" x14ac:dyDescent="0.35">
      <c r="E75" s="27"/>
      <c r="F75" t="s">
        <v>196</v>
      </c>
      <c r="G75" t="s">
        <v>283</v>
      </c>
      <c r="J75" s="110">
        <f>'Pseudo-load coefficients'!J277</f>
        <v>0</v>
      </c>
      <c r="K75" s="110">
        <f>'Pseudo-load coefficients'!K277</f>
        <v>0</v>
      </c>
      <c r="L75" s="110">
        <f>'Pseudo-load coefficients'!L277</f>
        <v>0</v>
      </c>
      <c r="M75" s="110">
        <f>'Pseudo-load coefficients'!M277</f>
        <v>0</v>
      </c>
      <c r="N75" s="110">
        <f>'Pseudo-load coefficients'!N277</f>
        <v>0</v>
      </c>
      <c r="O75" s="110">
        <f>'Pseudo-load coefficients'!O277</f>
        <v>0</v>
      </c>
      <c r="P75" s="110">
        <f>'Pseudo-load coefficients'!P277</f>
        <v>0</v>
      </c>
      <c r="Q75" s="110">
        <f>'Pseudo-load coefficients'!Q277</f>
        <v>0</v>
      </c>
      <c r="R75" s="110">
        <f>'Pseudo-load coefficients'!R277</f>
        <v>0</v>
      </c>
      <c r="S75" s="110">
        <f>'Pseudo-load coefficients'!S277</f>
        <v>0</v>
      </c>
      <c r="T75" s="110">
        <f>'Pseudo-load coefficients'!T277</f>
        <v>0</v>
      </c>
      <c r="U75" s="110">
        <f>'Pseudo-load coefficients'!U277</f>
        <v>0</v>
      </c>
      <c r="V75" s="110">
        <f>'Pseudo-load coefficients'!V277</f>
        <v>0</v>
      </c>
      <c r="W75" s="110">
        <f>'Pseudo-load coefficients'!W277</f>
        <v>0</v>
      </c>
      <c r="X75" s="110">
        <f>'Pseudo-load coefficients'!X277</f>
        <v>0</v>
      </c>
      <c r="Y75" s="110">
        <f>'Pseudo-load coefficients'!Y277</f>
        <v>0</v>
      </c>
      <c r="AQ75" s="3"/>
    </row>
    <row r="76" spans="3:43" x14ac:dyDescent="0.35">
      <c r="E76" s="27"/>
      <c r="F76" t="s">
        <v>197</v>
      </c>
      <c r="G76" t="s">
        <v>283</v>
      </c>
      <c r="J76" s="110">
        <f>'Pseudo-load coefficients'!J278</f>
        <v>6.2992886398913202</v>
      </c>
      <c r="K76" s="110">
        <f>'Pseudo-load coefficients'!K278</f>
        <v>6.2992886398913202</v>
      </c>
      <c r="L76" s="110">
        <f>'Pseudo-load coefficients'!L278</f>
        <v>5.8924518463158728</v>
      </c>
      <c r="M76" s="110">
        <f>'Pseudo-load coefficients'!M278</f>
        <v>5.8924518463158728</v>
      </c>
      <c r="N76" s="110">
        <f>'Pseudo-load coefficients'!N278</f>
        <v>5.1832408024717136</v>
      </c>
      <c r="O76" s="110">
        <f>'Pseudo-load coefficients'!O278</f>
        <v>4.4065838333311236</v>
      </c>
      <c r="P76" s="110">
        <f>'Pseudo-load coefficients'!P278</f>
        <v>4.5374050983229655</v>
      </c>
      <c r="Q76" s="110">
        <f>'Pseudo-load coefficients'!Q278</f>
        <v>13.32241277463428</v>
      </c>
      <c r="R76" s="110">
        <f>'Pseudo-load coefficients'!R278</f>
        <v>4.3724049617345706</v>
      </c>
      <c r="S76" s="110">
        <f>'Pseudo-load coefficients'!S278</f>
        <v>4.3724049617345706</v>
      </c>
      <c r="T76" s="110">
        <f>'Pseudo-load coefficients'!T278</f>
        <v>4.3724049617345706</v>
      </c>
      <c r="U76" s="110">
        <f>'Pseudo-load coefficients'!U278</f>
        <v>4.3724049617345706</v>
      </c>
      <c r="V76" s="110">
        <f>'Pseudo-load coefficients'!V278</f>
        <v>4.3724049617345706</v>
      </c>
      <c r="W76" s="110">
        <f>'Pseudo-load coefficients'!W278</f>
        <v>4.3724049617345706</v>
      </c>
      <c r="X76" s="110">
        <f>'Pseudo-load coefficients'!X278</f>
        <v>4.3724049617345706</v>
      </c>
      <c r="Y76" s="110">
        <f>'Pseudo-load coefficients'!Y278</f>
        <v>4.3724049617345706</v>
      </c>
      <c r="AQ76" s="3"/>
    </row>
    <row r="77" spans="3:43" x14ac:dyDescent="0.35">
      <c r="E77" s="27"/>
      <c r="F77" t="s">
        <v>198</v>
      </c>
      <c r="G77" t="s">
        <v>283</v>
      </c>
      <c r="J77" s="110">
        <f>'Pseudo-load coefficients'!J279</f>
        <v>6.2992886398913202</v>
      </c>
      <c r="K77" s="110">
        <f>'Pseudo-load coefficients'!K279</f>
        <v>6.2992886398913202</v>
      </c>
      <c r="L77" s="110">
        <f>'Pseudo-load coefficients'!L279</f>
        <v>5.8924518463158728</v>
      </c>
      <c r="M77" s="110">
        <f>'Pseudo-load coefficients'!M279</f>
        <v>5.8924518463158728</v>
      </c>
      <c r="N77" s="110">
        <f>'Pseudo-load coefficients'!N279</f>
        <v>5.1832408024717136</v>
      </c>
      <c r="O77" s="110">
        <f>'Pseudo-load coefficients'!O279</f>
        <v>4.4065838333311236</v>
      </c>
      <c r="P77" s="110">
        <f>'Pseudo-load coefficients'!P279</f>
        <v>4.5374050983229655</v>
      </c>
      <c r="Q77" s="110">
        <f>'Pseudo-load coefficients'!Q279</f>
        <v>13.32241277463428</v>
      </c>
      <c r="R77" s="110">
        <f>'Pseudo-load coefficients'!R279</f>
        <v>4.3724049617345706</v>
      </c>
      <c r="S77" s="110">
        <f>'Pseudo-load coefficients'!S279</f>
        <v>4.3724049617345706</v>
      </c>
      <c r="T77" s="110">
        <f>'Pseudo-load coefficients'!T279</f>
        <v>4.3724049617345706</v>
      </c>
      <c r="U77" s="110">
        <f>'Pseudo-load coefficients'!U279</f>
        <v>4.3724049617345706</v>
      </c>
      <c r="V77" s="110">
        <f>'Pseudo-load coefficients'!V279</f>
        <v>4.3724049617345706</v>
      </c>
      <c r="W77" s="110">
        <f>'Pseudo-load coefficients'!W279</f>
        <v>4.3724049617345706</v>
      </c>
      <c r="X77" s="110">
        <f>'Pseudo-load coefficients'!X279</f>
        <v>4.3724049617345706</v>
      </c>
      <c r="Y77" s="110">
        <f>'Pseudo-load coefficients'!Y279</f>
        <v>4.3724049617345706</v>
      </c>
      <c r="AQ77" s="3"/>
    </row>
    <row r="78" spans="3:43" x14ac:dyDescent="0.35">
      <c r="E78" s="27"/>
      <c r="F78" s="28" t="s">
        <v>199</v>
      </c>
      <c r="G78" s="28" t="s">
        <v>283</v>
      </c>
      <c r="H78" s="28"/>
      <c r="I78" s="28"/>
      <c r="J78" s="115">
        <f>'Pseudo-load coefficients'!J280</f>
        <v>6.2992886398913202</v>
      </c>
      <c r="K78" s="115">
        <f>'Pseudo-load coefficients'!K280</f>
        <v>6.2992886398913202</v>
      </c>
      <c r="L78" s="115">
        <f>'Pseudo-load coefficients'!L280</f>
        <v>5.8924518463158728</v>
      </c>
      <c r="M78" s="115">
        <f>'Pseudo-load coefficients'!M280</f>
        <v>5.8924518463158728</v>
      </c>
      <c r="N78" s="115">
        <f>'Pseudo-load coefficients'!N280</f>
        <v>5.1832408024717136</v>
      </c>
      <c r="O78" s="115">
        <f>'Pseudo-load coefficients'!O280</f>
        <v>4.4065838333311236</v>
      </c>
      <c r="P78" s="115">
        <f>'Pseudo-load coefficients'!P280</f>
        <v>4.5374050983229655</v>
      </c>
      <c r="Q78" s="115">
        <f>'Pseudo-load coefficients'!Q280</f>
        <v>13.32241277463428</v>
      </c>
      <c r="R78" s="115">
        <f>'Pseudo-load coefficients'!R280</f>
        <v>4.3724049617345706</v>
      </c>
      <c r="S78" s="115">
        <f>'Pseudo-load coefficients'!S280</f>
        <v>4.3724049617345706</v>
      </c>
      <c r="T78" s="115">
        <f>'Pseudo-load coefficients'!T280</f>
        <v>4.3724049617345706</v>
      </c>
      <c r="U78" s="115">
        <f>'Pseudo-load coefficients'!U280</f>
        <v>4.3724049617345706</v>
      </c>
      <c r="V78" s="115">
        <f>'Pseudo-load coefficients'!V280</f>
        <v>4.3724049617345706</v>
      </c>
      <c r="W78" s="115">
        <f>'Pseudo-load coefficients'!W280</f>
        <v>4.3724049617345706</v>
      </c>
      <c r="X78" s="115">
        <f>'Pseudo-load coefficients'!X280</f>
        <v>4.3724049617345706</v>
      </c>
      <c r="Y78" s="115">
        <f>'Pseudo-load coefficients'!Y280</f>
        <v>4.3724049617345706</v>
      </c>
      <c r="AQ78" s="3"/>
    </row>
    <row r="79" spans="3:43" x14ac:dyDescent="0.35">
      <c r="E79" s="27"/>
      <c r="J79" s="79"/>
      <c r="K79" s="79"/>
      <c r="L79" s="79"/>
      <c r="M79" s="79"/>
      <c r="N79" s="79"/>
      <c r="O79" s="79"/>
      <c r="P79" s="79"/>
      <c r="Q79" s="79"/>
      <c r="R79" s="79"/>
      <c r="S79" s="79"/>
      <c r="T79" s="79"/>
      <c r="U79" s="79"/>
      <c r="V79" s="79"/>
      <c r="W79" s="79"/>
      <c r="X79" s="79"/>
      <c r="Y79" s="79"/>
      <c r="AQ79" s="3"/>
    </row>
    <row r="80" spans="3:43" x14ac:dyDescent="0.35">
      <c r="E80" s="27" t="s">
        <v>507</v>
      </c>
      <c r="J80" s="79"/>
      <c r="K80" s="79"/>
      <c r="L80" s="79"/>
      <c r="M80" s="79"/>
      <c r="N80" s="79"/>
      <c r="O80" s="79"/>
      <c r="P80" s="79"/>
      <c r="Q80" s="79"/>
      <c r="R80" s="79"/>
      <c r="S80" s="79"/>
      <c r="T80" s="79"/>
      <c r="U80" s="79"/>
      <c r="V80" s="79"/>
      <c r="W80" s="79"/>
      <c r="X80" s="79"/>
      <c r="Y80" s="79"/>
      <c r="AQ80" s="3"/>
    </row>
    <row r="81" spans="5:43" x14ac:dyDescent="0.35">
      <c r="E81" s="24" t="s">
        <v>508</v>
      </c>
      <c r="J81" s="79"/>
      <c r="K81" s="79"/>
      <c r="L81" s="79"/>
      <c r="M81" s="79"/>
      <c r="N81" s="79"/>
      <c r="O81" s="79"/>
      <c r="P81" s="79"/>
      <c r="Q81" s="79"/>
      <c r="R81" s="79"/>
      <c r="S81" s="79"/>
      <c r="T81" s="79"/>
      <c r="U81" s="79"/>
      <c r="V81" s="79"/>
      <c r="W81" s="79"/>
      <c r="X81" s="79"/>
      <c r="Y81" s="79"/>
      <c r="AQ81" s="3"/>
    </row>
    <row r="82" spans="5:43" x14ac:dyDescent="0.35">
      <c r="E82" s="27"/>
      <c r="F82" s="19" t="s">
        <v>191</v>
      </c>
      <c r="G82" s="19" t="s">
        <v>172</v>
      </c>
      <c r="H82" s="19"/>
      <c r="I82" s="19"/>
      <c r="J82" s="148">
        <f t="shared" ref="J82:Y82" si="1">J$56 * J34 * J70 / hours_in_year / $H45</f>
        <v>2106.1619853847596</v>
      </c>
      <c r="K82" s="148">
        <f t="shared" si="1"/>
        <v>0.67997953114253296</v>
      </c>
      <c r="L82" s="148">
        <f t="shared" si="1"/>
        <v>505.432863527942</v>
      </c>
      <c r="M82" s="148">
        <f t="shared" si="1"/>
        <v>1.0256912019093289</v>
      </c>
      <c r="N82" s="148">
        <f t="shared" si="1"/>
        <v>736.08483140660815</v>
      </c>
      <c r="O82" s="148">
        <f t="shared" si="1"/>
        <v>35.417130493457613</v>
      </c>
      <c r="P82" s="148">
        <f t="shared" si="1"/>
        <v>456.51333810209212</v>
      </c>
      <c r="Q82" s="148">
        <f t="shared" si="1"/>
        <v>31.984675588913579</v>
      </c>
      <c r="R82" s="148">
        <f t="shared" si="1"/>
        <v>-1.1652711841655621</v>
      </c>
      <c r="S82" s="148">
        <f t="shared" si="1"/>
        <v>-4.0726401322759245E-2</v>
      </c>
      <c r="T82" s="148">
        <f t="shared" si="1"/>
        <v>-5.6892458281308471</v>
      </c>
      <c r="U82" s="148">
        <f t="shared" si="1"/>
        <v>0</v>
      </c>
      <c r="V82" s="148">
        <f t="shared" si="1"/>
        <v>0</v>
      </c>
      <c r="W82" s="148">
        <f t="shared" si="1"/>
        <v>0</v>
      </c>
      <c r="X82" s="148">
        <f t="shared" si="1"/>
        <v>-96.494792173328904</v>
      </c>
      <c r="Y82" s="148">
        <f t="shared" si="1"/>
        <v>0</v>
      </c>
      <c r="AQ82" s="3"/>
    </row>
    <row r="83" spans="5:43" x14ac:dyDescent="0.35">
      <c r="E83" s="27"/>
      <c r="F83" t="s">
        <v>192</v>
      </c>
      <c r="G83" t="s">
        <v>172</v>
      </c>
      <c r="J83" s="79">
        <f t="shared" ref="J83:Y83" si="2">J$56 * J35 * J71 / hours_in_year / $H46</f>
        <v>1775.2658896542239</v>
      </c>
      <c r="K83" s="79">
        <f t="shared" si="2"/>
        <v>0.57314892001523154</v>
      </c>
      <c r="L83" s="79">
        <f t="shared" si="2"/>
        <v>426.0250295836085</v>
      </c>
      <c r="M83" s="79">
        <f t="shared" si="2"/>
        <v>0.86454632488081529</v>
      </c>
      <c r="N83" s="79">
        <f t="shared" si="2"/>
        <v>620.43959683818491</v>
      </c>
      <c r="O83" s="79">
        <f t="shared" si="2"/>
        <v>29.852795801450011</v>
      </c>
      <c r="P83" s="79">
        <f t="shared" si="2"/>
        <v>384.7911807964656</v>
      </c>
      <c r="Q83" s="79">
        <f t="shared" si="2"/>
        <v>30.868289070253834</v>
      </c>
      <c r="R83" s="79">
        <f t="shared" si="2"/>
        <v>-0.98219709585547266</v>
      </c>
      <c r="S83" s="79">
        <f t="shared" si="2"/>
        <v>-3.4327934688012679E-2</v>
      </c>
      <c r="T83" s="79">
        <f t="shared" si="2"/>
        <v>-4.7954165570475844</v>
      </c>
      <c r="U83" s="79">
        <f t="shared" si="2"/>
        <v>0</v>
      </c>
      <c r="V83" s="79">
        <f t="shared" si="2"/>
        <v>0</v>
      </c>
      <c r="W83" s="79">
        <f t="shared" si="2"/>
        <v>0</v>
      </c>
      <c r="X83" s="79">
        <f t="shared" si="2"/>
        <v>-81.334633453319057</v>
      </c>
      <c r="Y83" s="79">
        <f t="shared" si="2"/>
        <v>0</v>
      </c>
      <c r="AQ83" s="3"/>
    </row>
    <row r="84" spans="5:43" x14ac:dyDescent="0.35">
      <c r="E84" s="27"/>
      <c r="F84" t="s">
        <v>193</v>
      </c>
      <c r="G84" t="s">
        <v>172</v>
      </c>
      <c r="J84" s="79">
        <f t="shared" ref="J84:Y84" si="3">J$56 * J36 * J72 / hours_in_year / $H47</f>
        <v>1768.2211837428977</v>
      </c>
      <c r="K84" s="79">
        <f t="shared" si="3"/>
        <v>0.57087451953898061</v>
      </c>
      <c r="L84" s="79">
        <f t="shared" si="3"/>
        <v>424.33445406938785</v>
      </c>
      <c r="M84" s="79">
        <f t="shared" si="3"/>
        <v>0.86111558549636757</v>
      </c>
      <c r="N84" s="79">
        <f t="shared" si="3"/>
        <v>617.97753494596998</v>
      </c>
      <c r="O84" s="79">
        <f t="shared" si="3"/>
        <v>29.734332326047429</v>
      </c>
      <c r="P84" s="79">
        <f t="shared" si="3"/>
        <v>383.26423166632088</v>
      </c>
      <c r="Q84" s="79">
        <f t="shared" si="3"/>
        <v>30.745795859657587</v>
      </c>
      <c r="R84" s="79">
        <f t="shared" si="3"/>
        <v>-0.97829948833223668</v>
      </c>
      <c r="S84" s="79">
        <f t="shared" si="3"/>
        <v>-3.4191712724965011E-2</v>
      </c>
      <c r="T84" s="79">
        <f t="shared" si="3"/>
        <v>-4.7763871262656501</v>
      </c>
      <c r="U84" s="79">
        <f t="shared" si="3"/>
        <v>0</v>
      </c>
      <c r="V84" s="79">
        <f t="shared" si="3"/>
        <v>0</v>
      </c>
      <c r="W84" s="79">
        <f t="shared" si="3"/>
        <v>0</v>
      </c>
      <c r="X84" s="79">
        <f t="shared" si="3"/>
        <v>-81.011876971361445</v>
      </c>
      <c r="Y84" s="79">
        <f t="shared" si="3"/>
        <v>0</v>
      </c>
      <c r="AQ84" s="3"/>
    </row>
    <row r="85" spans="5:43" x14ac:dyDescent="0.35">
      <c r="E85" s="27"/>
      <c r="F85" t="s">
        <v>194</v>
      </c>
      <c r="G85" t="s">
        <v>172</v>
      </c>
      <c r="J85" s="79">
        <f t="shared" ref="J85:Y85" si="4">J$56 * J37 * J73 / hours_in_year / $H48</f>
        <v>1467.3267916513867</v>
      </c>
      <c r="K85" s="79">
        <f t="shared" si="4"/>
        <v>0.47373003156626381</v>
      </c>
      <c r="L85" s="79">
        <f t="shared" si="4"/>
        <v>352.12637355627913</v>
      </c>
      <c r="M85" s="79">
        <f t="shared" si="4"/>
        <v>0.71458140018025662</v>
      </c>
      <c r="N85" s="79">
        <f t="shared" si="4"/>
        <v>512.81762824799944</v>
      </c>
      <c r="O85" s="79">
        <f t="shared" si="4"/>
        <v>24.674505008203298</v>
      </c>
      <c r="P85" s="79">
        <f t="shared" si="4"/>
        <v>318.04498248079278</v>
      </c>
      <c r="Q85" s="79">
        <f t="shared" si="4"/>
        <v>25.465745891501843</v>
      </c>
      <c r="R85" s="79">
        <f t="shared" si="4"/>
        <v>-0.81182437055196832</v>
      </c>
      <c r="S85" s="79">
        <f t="shared" si="4"/>
        <v>-2.8373382580786723E-2</v>
      </c>
      <c r="T85" s="79">
        <f t="shared" si="4"/>
        <v>-3.963599611917902</v>
      </c>
      <c r="U85" s="79">
        <f t="shared" si="4"/>
        <v>0</v>
      </c>
      <c r="V85" s="79">
        <f t="shared" si="4"/>
        <v>0</v>
      </c>
      <c r="W85" s="79">
        <f t="shared" si="4"/>
        <v>0</v>
      </c>
      <c r="X85" s="79">
        <f t="shared" si="4"/>
        <v>-67.226260274986444</v>
      </c>
      <c r="Y85" s="79">
        <f t="shared" si="4"/>
        <v>0</v>
      </c>
      <c r="AQ85" s="3"/>
    </row>
    <row r="86" spans="5:43" x14ac:dyDescent="0.35">
      <c r="E86" s="27"/>
      <c r="F86" t="s">
        <v>195</v>
      </c>
      <c r="G86" t="s">
        <v>172</v>
      </c>
      <c r="J86" s="79">
        <f t="shared" ref="J86:Y86" si="5">J$56 * J38 * J74 / hours_in_year / $H49</f>
        <v>1460.1198820656725</v>
      </c>
      <c r="K86" s="79">
        <f t="shared" si="5"/>
        <v>0.47140326323833515</v>
      </c>
      <c r="L86" s="79">
        <f t="shared" si="5"/>
        <v>350.39687270384155</v>
      </c>
      <c r="M86" s="79">
        <f t="shared" si="5"/>
        <v>0.71107166835225921</v>
      </c>
      <c r="N86" s="79">
        <f t="shared" si="5"/>
        <v>510.29887761809761</v>
      </c>
      <c r="O86" s="79">
        <f t="shared" si="5"/>
        <v>24.553313922701314</v>
      </c>
      <c r="P86" s="79">
        <f t="shared" si="5"/>
        <v>316.48287549414835</v>
      </c>
      <c r="Q86" s="79">
        <f t="shared" si="5"/>
        <v>25.340668554117254</v>
      </c>
      <c r="R86" s="79">
        <f t="shared" si="5"/>
        <v>-0.80783702099130039</v>
      </c>
      <c r="S86" s="79">
        <f t="shared" si="5"/>
        <v>-2.8234024120173819E-2</v>
      </c>
      <c r="T86" s="79">
        <f t="shared" si="5"/>
        <v>-3.9441320303269491</v>
      </c>
      <c r="U86" s="79">
        <f t="shared" si="5"/>
        <v>0</v>
      </c>
      <c r="V86" s="79">
        <f t="shared" si="5"/>
        <v>0</v>
      </c>
      <c r="W86" s="79">
        <f t="shared" si="5"/>
        <v>0</v>
      </c>
      <c r="X86" s="79">
        <f t="shared" si="5"/>
        <v>-66.896072356150555</v>
      </c>
      <c r="Y86" s="79">
        <f t="shared" si="5"/>
        <v>0</v>
      </c>
      <c r="AQ86" s="3"/>
    </row>
    <row r="87" spans="5:43" x14ac:dyDescent="0.35">
      <c r="E87" s="27"/>
      <c r="F87" t="s">
        <v>196</v>
      </c>
      <c r="G87" t="s">
        <v>172</v>
      </c>
      <c r="J87" s="79">
        <f t="shared" ref="J87:Y87" si="6">J$56 * J39 * J75 / hours_in_year / $H50</f>
        <v>0</v>
      </c>
      <c r="K87" s="79">
        <f t="shared" si="6"/>
        <v>0</v>
      </c>
      <c r="L87" s="79">
        <f t="shared" si="6"/>
        <v>0</v>
      </c>
      <c r="M87" s="79">
        <f t="shared" si="6"/>
        <v>0</v>
      </c>
      <c r="N87" s="79">
        <f t="shared" si="6"/>
        <v>0</v>
      </c>
      <c r="O87" s="79">
        <f t="shared" si="6"/>
        <v>0</v>
      </c>
      <c r="P87" s="79">
        <f t="shared" si="6"/>
        <v>0</v>
      </c>
      <c r="Q87" s="79">
        <f t="shared" si="6"/>
        <v>0</v>
      </c>
      <c r="R87" s="79">
        <f t="shared" si="6"/>
        <v>0</v>
      </c>
      <c r="S87" s="79">
        <f t="shared" si="6"/>
        <v>0</v>
      </c>
      <c r="T87" s="79">
        <f t="shared" si="6"/>
        <v>0</v>
      </c>
      <c r="U87" s="79">
        <f t="shared" si="6"/>
        <v>0</v>
      </c>
      <c r="V87" s="79">
        <f t="shared" si="6"/>
        <v>0</v>
      </c>
      <c r="W87" s="79">
        <f t="shared" si="6"/>
        <v>0</v>
      </c>
      <c r="X87" s="79">
        <f t="shared" si="6"/>
        <v>0</v>
      </c>
      <c r="Y87" s="79">
        <f t="shared" si="6"/>
        <v>0</v>
      </c>
      <c r="AQ87" s="3"/>
    </row>
    <row r="88" spans="5:43" x14ac:dyDescent="0.35">
      <c r="E88" s="27"/>
      <c r="F88" t="s">
        <v>197</v>
      </c>
      <c r="G88" t="s">
        <v>172</v>
      </c>
      <c r="J88" s="79">
        <f t="shared" ref="J88:Y88" si="7">J$56 * J40 * J76 / hours_in_year / $H51</f>
        <v>912.14254136802595</v>
      </c>
      <c r="K88" s="79">
        <f t="shared" si="7"/>
        <v>0.29448744299754409</v>
      </c>
      <c r="L88" s="79">
        <f t="shared" si="7"/>
        <v>218.89428250461654</v>
      </c>
      <c r="M88" s="79">
        <f t="shared" si="7"/>
        <v>0.44420922325092987</v>
      </c>
      <c r="N88" s="79">
        <f>N$56 * N40 * N76 / hours_in_year / $H51</f>
        <v>318.7856838366697</v>
      </c>
      <c r="O88" s="79">
        <f t="shared" si="7"/>
        <v>15.33855023518705</v>
      </c>
      <c r="P88" s="79">
        <f t="shared" si="7"/>
        <v>197.70807719178023</v>
      </c>
      <c r="Q88" s="79">
        <f t="shared" si="7"/>
        <v>15.156650959335817</v>
      </c>
      <c r="R88" s="79">
        <f t="shared" si="7"/>
        <v>-0.50465891355148185</v>
      </c>
      <c r="S88" s="79">
        <f t="shared" si="7"/>
        <v>-1.7637904140848596E-2</v>
      </c>
      <c r="T88" s="79">
        <f t="shared" si="7"/>
        <v>-2.4639145441563439</v>
      </c>
      <c r="U88" s="79">
        <f t="shared" si="7"/>
        <v>0</v>
      </c>
      <c r="V88" s="79">
        <f t="shared" si="7"/>
        <v>0</v>
      </c>
      <c r="W88" s="79">
        <f t="shared" si="7"/>
        <v>0</v>
      </c>
      <c r="X88" s="79">
        <f t="shared" si="7"/>
        <v>0</v>
      </c>
      <c r="Y88" s="79">
        <f t="shared" si="7"/>
        <v>0</v>
      </c>
      <c r="AQ88" s="3"/>
    </row>
    <row r="89" spans="5:43" x14ac:dyDescent="0.35">
      <c r="E89" s="27"/>
      <c r="F89" t="s">
        <v>198</v>
      </c>
      <c r="G89" t="s">
        <v>172</v>
      </c>
      <c r="J89" s="79">
        <f t="shared" ref="J89:Y89" si="8">J$56 * J41 * J77 / hours_in_year / $H52</f>
        <v>898.14994245921628</v>
      </c>
      <c r="K89" s="79">
        <f t="shared" si="8"/>
        <v>0.28996989833027592</v>
      </c>
      <c r="L89" s="79">
        <f t="shared" si="8"/>
        <v>215.53636446044217</v>
      </c>
      <c r="M89" s="79">
        <f t="shared" si="8"/>
        <v>0.43739489192589165</v>
      </c>
      <c r="N89" s="79">
        <f t="shared" si="8"/>
        <v>313.89539530226244</v>
      </c>
      <c r="O89" s="79">
        <f t="shared" si="8"/>
        <v>15.103251286229241</v>
      </c>
      <c r="P89" s="79">
        <f t="shared" si="8"/>
        <v>0</v>
      </c>
      <c r="Q89" s="79">
        <f t="shared" si="8"/>
        <v>14.924142411541595</v>
      </c>
      <c r="R89" s="79">
        <f t="shared" si="8"/>
        <v>-0.49691726195337665</v>
      </c>
      <c r="S89" s="79">
        <f t="shared" si="8"/>
        <v>0</v>
      </c>
      <c r="T89" s="79">
        <f t="shared" si="8"/>
        <v>-2.4261171973619988</v>
      </c>
      <c r="U89" s="79">
        <f t="shared" si="8"/>
        <v>0</v>
      </c>
      <c r="V89" s="79">
        <f t="shared" si="8"/>
        <v>0</v>
      </c>
      <c r="W89" s="79">
        <f t="shared" si="8"/>
        <v>0</v>
      </c>
      <c r="X89" s="79">
        <f t="shared" si="8"/>
        <v>0</v>
      </c>
      <c r="Y89" s="79">
        <f t="shared" si="8"/>
        <v>0</v>
      </c>
      <c r="AQ89" s="3"/>
    </row>
    <row r="90" spans="5:43" x14ac:dyDescent="0.35">
      <c r="E90" s="27"/>
      <c r="F90" s="28" t="s">
        <v>199</v>
      </c>
      <c r="G90" s="28" t="s">
        <v>172</v>
      </c>
      <c r="H90" s="28"/>
      <c r="I90" s="28"/>
      <c r="J90" s="72">
        <f t="shared" ref="J90:Y90" si="9">J$56 * J42 * J78 / hours_in_year / $H53</f>
        <v>859.42237613299312</v>
      </c>
      <c r="K90" s="72">
        <f t="shared" si="9"/>
        <v>0.27746660913621812</v>
      </c>
      <c r="L90" s="72">
        <f t="shared" si="9"/>
        <v>206.242594616735</v>
      </c>
      <c r="M90" s="72">
        <f t="shared" si="9"/>
        <v>0.41853474520982098</v>
      </c>
      <c r="N90" s="72">
        <f t="shared" si="9"/>
        <v>300.36045623877038</v>
      </c>
      <c r="O90" s="72">
        <f t="shared" si="9"/>
        <v>0</v>
      </c>
      <c r="P90" s="72">
        <f t="shared" si="9"/>
        <v>0</v>
      </c>
      <c r="Q90" s="72">
        <f t="shared" si="9"/>
        <v>14.280624344254937</v>
      </c>
      <c r="R90" s="72">
        <f t="shared" si="9"/>
        <v>0</v>
      </c>
      <c r="S90" s="72">
        <f t="shared" si="9"/>
        <v>0</v>
      </c>
      <c r="T90" s="72">
        <f t="shared" si="9"/>
        <v>0</v>
      </c>
      <c r="U90" s="72">
        <f t="shared" si="9"/>
        <v>0</v>
      </c>
      <c r="V90" s="72">
        <f t="shared" si="9"/>
        <v>0</v>
      </c>
      <c r="W90" s="72">
        <f t="shared" si="9"/>
        <v>0</v>
      </c>
      <c r="X90" s="72">
        <f t="shared" si="9"/>
        <v>0</v>
      </c>
      <c r="Y90" s="72">
        <f t="shared" si="9"/>
        <v>0</v>
      </c>
      <c r="AQ90" s="3"/>
    </row>
    <row r="91" spans="5:43" x14ac:dyDescent="0.35">
      <c r="E91" s="27"/>
      <c r="J91" s="79"/>
      <c r="K91" s="79"/>
      <c r="L91" s="79"/>
      <c r="M91" s="79"/>
      <c r="N91" s="79"/>
      <c r="O91" s="79"/>
      <c r="P91" s="79"/>
      <c r="Q91" s="79"/>
      <c r="R91" s="79"/>
      <c r="S91" s="79"/>
      <c r="T91" s="79"/>
      <c r="U91" s="79"/>
      <c r="V91" s="79"/>
      <c r="W91" s="79"/>
      <c r="X91" s="79"/>
      <c r="Y91" s="79"/>
      <c r="AQ91" s="3"/>
    </row>
    <row r="92" spans="5:43" x14ac:dyDescent="0.35">
      <c r="E92" s="27" t="s">
        <v>509</v>
      </c>
      <c r="J92" s="79"/>
      <c r="K92" s="79"/>
      <c r="L92" s="79"/>
      <c r="M92" s="79"/>
      <c r="N92" s="79"/>
      <c r="O92" s="79"/>
      <c r="P92" s="79"/>
      <c r="Q92" s="79"/>
      <c r="R92" s="79"/>
      <c r="S92" s="79"/>
      <c r="T92" s="79"/>
      <c r="U92" s="79"/>
      <c r="V92" s="79"/>
      <c r="W92" s="79"/>
      <c r="X92" s="79"/>
      <c r="Y92" s="79"/>
      <c r="AQ92" s="3"/>
    </row>
    <row r="93" spans="5:43" x14ac:dyDescent="0.35">
      <c r="E93" s="27"/>
      <c r="F93" s="19" t="s">
        <v>191</v>
      </c>
      <c r="G93" s="19" t="s">
        <v>283</v>
      </c>
      <c r="H93" s="19"/>
      <c r="I93" s="19"/>
      <c r="J93" s="114">
        <f>'Pseudo-load coefficients'!J283</f>
        <v>0.34953505318271522</v>
      </c>
      <c r="K93" s="114">
        <f>'Pseudo-load coefficients'!K283</f>
        <v>0.34953505318271522</v>
      </c>
      <c r="L93" s="114">
        <f>'Pseudo-load coefficients'!L283</f>
        <v>0.32696048509917797</v>
      </c>
      <c r="M93" s="114">
        <f>'Pseudo-load coefficients'!M283</f>
        <v>0.32696048509917797</v>
      </c>
      <c r="N93" s="114">
        <f>'Pseudo-load coefficients'!N283</f>
        <v>0.28760776861020726</v>
      </c>
      <c r="O93" s="114">
        <f>'Pseudo-load coefficients'!O283</f>
        <v>0.24451261127860641</v>
      </c>
      <c r="P93" s="114">
        <f>'Pseudo-load coefficients'!P283</f>
        <v>0.25177162422917698</v>
      </c>
      <c r="Q93" s="114">
        <f>'Pseudo-load coefficients'!Q283</f>
        <v>0.55436839402115112</v>
      </c>
      <c r="R93" s="114">
        <f>'Pseudo-load coefficients'!R283</f>
        <v>0.24261609337250953</v>
      </c>
      <c r="S93" s="114">
        <f>'Pseudo-load coefficients'!S283</f>
        <v>0.24261609337250953</v>
      </c>
      <c r="T93" s="114">
        <f>'Pseudo-load coefficients'!T283</f>
        <v>0.24261609337250953</v>
      </c>
      <c r="U93" s="114">
        <f>'Pseudo-load coefficients'!U283</f>
        <v>0.24261609337250953</v>
      </c>
      <c r="V93" s="114">
        <f>'Pseudo-load coefficients'!V283</f>
        <v>0.24261609337250953</v>
      </c>
      <c r="W93" s="114">
        <f>'Pseudo-load coefficients'!W283</f>
        <v>0.24261609337250953</v>
      </c>
      <c r="X93" s="114">
        <f>'Pseudo-load coefficients'!X283</f>
        <v>0.24261609337250953</v>
      </c>
      <c r="Y93" s="114">
        <f>'Pseudo-load coefficients'!Y283</f>
        <v>0.24261609337250953</v>
      </c>
      <c r="AQ93" s="3"/>
    </row>
    <row r="94" spans="5:43" x14ac:dyDescent="0.35">
      <c r="E94" s="27"/>
      <c r="F94" t="s">
        <v>192</v>
      </c>
      <c r="G94" t="s">
        <v>283</v>
      </c>
      <c r="J94" s="110">
        <f>'Pseudo-load coefficients'!J284</f>
        <v>0.71221418637181566</v>
      </c>
      <c r="K94" s="110">
        <f>'Pseudo-load coefficients'!K284</f>
        <v>0.71221418637181566</v>
      </c>
      <c r="L94" s="110">
        <f>'Pseudo-load coefficients'!L284</f>
        <v>0.66621614556328168</v>
      </c>
      <c r="M94" s="110">
        <f>'Pseudo-load coefficients'!M284</f>
        <v>0.66621614556328168</v>
      </c>
      <c r="N94" s="110">
        <f>'Pseudo-load coefficients'!N284</f>
        <v>0.58603087458543224</v>
      </c>
      <c r="O94" s="110">
        <f>'Pseudo-load coefficients'!O284</f>
        <v>0.49821998942237222</v>
      </c>
      <c r="P94" s="110">
        <f>'Pseudo-load coefficients'!P284</f>
        <v>0.51301098664962475</v>
      </c>
      <c r="Q94" s="110">
        <f>'Pseudo-load coefficients'!Q284</f>
        <v>0.58068520204618945</v>
      </c>
      <c r="R94" s="110">
        <f>'Pseudo-load coefficients'!R284</f>
        <v>0.49435563606172578</v>
      </c>
      <c r="S94" s="110">
        <f>'Pseudo-load coefficients'!S284</f>
        <v>0.49435563606172578</v>
      </c>
      <c r="T94" s="110">
        <f>'Pseudo-load coefficients'!T284</f>
        <v>0.49435563606172578</v>
      </c>
      <c r="U94" s="110">
        <f>'Pseudo-load coefficients'!U284</f>
        <v>0.49435563606172578</v>
      </c>
      <c r="V94" s="110">
        <f>'Pseudo-load coefficients'!V284</f>
        <v>0.49435563606172578</v>
      </c>
      <c r="W94" s="110">
        <f>'Pseudo-load coefficients'!W284</f>
        <v>0.49435563606172578</v>
      </c>
      <c r="X94" s="110">
        <f>'Pseudo-load coefficients'!X284</f>
        <v>0.49435563606172578</v>
      </c>
      <c r="Y94" s="110">
        <f>'Pseudo-load coefficients'!Y284</f>
        <v>0.49435563606172578</v>
      </c>
      <c r="AQ94" s="3"/>
    </row>
    <row r="95" spans="5:43" x14ac:dyDescent="0.35">
      <c r="E95" s="27"/>
      <c r="F95" t="s">
        <v>193</v>
      </c>
      <c r="G95" t="s">
        <v>283</v>
      </c>
      <c r="J95" s="110">
        <f>'Pseudo-load coefficients'!J285</f>
        <v>0.71221418637181566</v>
      </c>
      <c r="K95" s="110">
        <f>'Pseudo-load coefficients'!K285</f>
        <v>0.71221418637181566</v>
      </c>
      <c r="L95" s="110">
        <f>'Pseudo-load coefficients'!L285</f>
        <v>0.66621614556328168</v>
      </c>
      <c r="M95" s="110">
        <f>'Pseudo-load coefficients'!M285</f>
        <v>0.66621614556328168</v>
      </c>
      <c r="N95" s="110">
        <f>'Pseudo-load coefficients'!N285</f>
        <v>0.58603087458543224</v>
      </c>
      <c r="O95" s="110">
        <f>'Pseudo-load coefficients'!O285</f>
        <v>0.49821998942237222</v>
      </c>
      <c r="P95" s="110">
        <f>'Pseudo-load coefficients'!P285</f>
        <v>0.51301098664962475</v>
      </c>
      <c r="Q95" s="110">
        <f>'Pseudo-load coefficients'!Q285</f>
        <v>0.58068520204618945</v>
      </c>
      <c r="R95" s="110">
        <f>'Pseudo-load coefficients'!R285</f>
        <v>0.49435563606172578</v>
      </c>
      <c r="S95" s="110">
        <f>'Pseudo-load coefficients'!S285</f>
        <v>0.49435563606172578</v>
      </c>
      <c r="T95" s="110">
        <f>'Pseudo-load coefficients'!T285</f>
        <v>0.49435563606172578</v>
      </c>
      <c r="U95" s="110">
        <f>'Pseudo-load coefficients'!U285</f>
        <v>0.49435563606172578</v>
      </c>
      <c r="V95" s="110">
        <f>'Pseudo-load coefficients'!V285</f>
        <v>0.49435563606172578</v>
      </c>
      <c r="W95" s="110">
        <f>'Pseudo-load coefficients'!W285</f>
        <v>0.49435563606172578</v>
      </c>
      <c r="X95" s="110">
        <f>'Pseudo-load coefficients'!X285</f>
        <v>0.49435563606172578</v>
      </c>
      <c r="Y95" s="110">
        <f>'Pseudo-load coefficients'!Y285</f>
        <v>0.49435563606172578</v>
      </c>
      <c r="AQ95" s="3"/>
    </row>
    <row r="96" spans="5:43" x14ac:dyDescent="0.35">
      <c r="E96" s="27"/>
      <c r="F96" t="s">
        <v>194</v>
      </c>
      <c r="G96" t="s">
        <v>283</v>
      </c>
      <c r="J96" s="110">
        <f>'Pseudo-load coefficients'!J286</f>
        <v>1.0540155377858806</v>
      </c>
      <c r="K96" s="110">
        <f>'Pseudo-load coefficients'!K286</f>
        <v>1.0540155377858806</v>
      </c>
      <c r="L96" s="110">
        <f>'Pseudo-load coefficients'!L286</f>
        <v>0.98594240663008925</v>
      </c>
      <c r="M96" s="110">
        <f>'Pseudo-load coefficients'!M286</f>
        <v>0.98594240663008925</v>
      </c>
      <c r="N96" s="110">
        <f>'Pseudo-load coefficients'!N286</f>
        <v>0.86727512489175262</v>
      </c>
      <c r="O96" s="110">
        <f>'Pseudo-load coefficients'!O286</f>
        <v>0.73732259218513985</v>
      </c>
      <c r="P96" s="110">
        <f>'Pseudo-load coefficients'!P286</f>
        <v>0.7592119917438469</v>
      </c>
      <c r="Q96" s="110">
        <f>'Pseudo-load coefficients'!Q286</f>
        <v>0.80487638714266962</v>
      </c>
      <c r="R96" s="110">
        <f>'Pseudo-load coefficients'!R286</f>
        <v>0.7316036826723068</v>
      </c>
      <c r="S96" s="110">
        <f>'Pseudo-load coefficients'!S286</f>
        <v>0.7316036826723068</v>
      </c>
      <c r="T96" s="110">
        <f>'Pseudo-load coefficients'!T286</f>
        <v>0.7316036826723068</v>
      </c>
      <c r="U96" s="110">
        <f>'Pseudo-load coefficients'!U286</f>
        <v>0.7316036826723068</v>
      </c>
      <c r="V96" s="110">
        <f>'Pseudo-load coefficients'!V286</f>
        <v>0.7316036826723068</v>
      </c>
      <c r="W96" s="110">
        <f>'Pseudo-load coefficients'!W286</f>
        <v>0.7316036826723068</v>
      </c>
      <c r="X96" s="110">
        <f>'Pseudo-load coefficients'!X286</f>
        <v>0.7316036826723068</v>
      </c>
      <c r="Y96" s="110">
        <f>'Pseudo-load coefficients'!Y286</f>
        <v>0.7316036826723068</v>
      </c>
      <c r="AQ96" s="3"/>
    </row>
    <row r="97" spans="5:43" x14ac:dyDescent="0.35">
      <c r="E97" s="27"/>
      <c r="F97" t="s">
        <v>195</v>
      </c>
      <c r="G97" t="s">
        <v>283</v>
      </c>
      <c r="J97" s="110">
        <f>'Pseudo-load coefficients'!J287</f>
        <v>1.0540155377858806</v>
      </c>
      <c r="K97" s="110">
        <f>'Pseudo-load coefficients'!K287</f>
        <v>1.0540155377858806</v>
      </c>
      <c r="L97" s="110">
        <f>'Pseudo-load coefficients'!L287</f>
        <v>0.98594240663008925</v>
      </c>
      <c r="M97" s="110">
        <f>'Pseudo-load coefficients'!M287</f>
        <v>0.98594240663008925</v>
      </c>
      <c r="N97" s="110">
        <f>'Pseudo-load coefficients'!N287</f>
        <v>0.86727512489175262</v>
      </c>
      <c r="O97" s="110">
        <f>'Pseudo-load coefficients'!O287</f>
        <v>0.73732259218513985</v>
      </c>
      <c r="P97" s="110">
        <f>'Pseudo-load coefficients'!P287</f>
        <v>0.7592119917438469</v>
      </c>
      <c r="Q97" s="110">
        <f>'Pseudo-load coefficients'!Q287</f>
        <v>0.80487638714266962</v>
      </c>
      <c r="R97" s="110">
        <f>'Pseudo-load coefficients'!R287</f>
        <v>0.7316036826723068</v>
      </c>
      <c r="S97" s="110">
        <f>'Pseudo-load coefficients'!S287</f>
        <v>0.7316036826723068</v>
      </c>
      <c r="T97" s="110">
        <f>'Pseudo-load coefficients'!T287</f>
        <v>0.7316036826723068</v>
      </c>
      <c r="U97" s="110">
        <f>'Pseudo-load coefficients'!U287</f>
        <v>0.7316036826723068</v>
      </c>
      <c r="V97" s="110">
        <f>'Pseudo-load coefficients'!V287</f>
        <v>0.7316036826723068</v>
      </c>
      <c r="W97" s="110">
        <f>'Pseudo-load coefficients'!W287</f>
        <v>0.7316036826723068</v>
      </c>
      <c r="X97" s="110">
        <f>'Pseudo-load coefficients'!X287</f>
        <v>0.7316036826723068</v>
      </c>
      <c r="Y97" s="110">
        <f>'Pseudo-load coefficients'!Y287</f>
        <v>0.7316036826723068</v>
      </c>
      <c r="AQ97" s="3"/>
    </row>
    <row r="98" spans="5:43" x14ac:dyDescent="0.35">
      <c r="E98" s="27"/>
      <c r="F98" t="s">
        <v>196</v>
      </c>
      <c r="G98" t="s">
        <v>283</v>
      </c>
      <c r="J98" s="110">
        <f>'Pseudo-load coefficients'!J288</f>
        <v>0</v>
      </c>
      <c r="K98" s="110">
        <f>'Pseudo-load coefficients'!K288</f>
        <v>0</v>
      </c>
      <c r="L98" s="110">
        <f>'Pseudo-load coefficients'!L288</f>
        <v>0</v>
      </c>
      <c r="M98" s="110">
        <f>'Pseudo-load coefficients'!M288</f>
        <v>0</v>
      </c>
      <c r="N98" s="110">
        <f>'Pseudo-load coefficients'!N288</f>
        <v>0</v>
      </c>
      <c r="O98" s="110">
        <f>'Pseudo-load coefficients'!O288</f>
        <v>0</v>
      </c>
      <c r="P98" s="110">
        <f>'Pseudo-load coefficients'!P288</f>
        <v>0</v>
      </c>
      <c r="Q98" s="110">
        <f>'Pseudo-load coefficients'!Q288</f>
        <v>0</v>
      </c>
      <c r="R98" s="110">
        <f>'Pseudo-load coefficients'!R288</f>
        <v>0</v>
      </c>
      <c r="S98" s="110">
        <f>'Pseudo-load coefficients'!S288</f>
        <v>0</v>
      </c>
      <c r="T98" s="110">
        <f>'Pseudo-load coefficients'!T288</f>
        <v>0</v>
      </c>
      <c r="U98" s="110">
        <f>'Pseudo-load coefficients'!U288</f>
        <v>0</v>
      </c>
      <c r="V98" s="110">
        <f>'Pseudo-load coefficients'!V288</f>
        <v>0</v>
      </c>
      <c r="W98" s="110">
        <f>'Pseudo-load coefficients'!W288</f>
        <v>0</v>
      </c>
      <c r="X98" s="110">
        <f>'Pseudo-load coefficients'!X288</f>
        <v>0</v>
      </c>
      <c r="Y98" s="110">
        <f>'Pseudo-load coefficients'!Y288</f>
        <v>0</v>
      </c>
      <c r="AQ98" s="3"/>
    </row>
    <row r="99" spans="5:43" x14ac:dyDescent="0.35">
      <c r="E99" s="27"/>
      <c r="F99" t="s">
        <v>197</v>
      </c>
      <c r="G99" t="s">
        <v>283</v>
      </c>
      <c r="J99" s="110">
        <f>'Pseudo-load coefficients'!J289</f>
        <v>1.6850345048359763</v>
      </c>
      <c r="K99" s="110">
        <f>'Pseudo-load coefficients'!K289</f>
        <v>1.6850345048359763</v>
      </c>
      <c r="L99" s="110">
        <f>'Pseudo-load coefficients'!L289</f>
        <v>1.5762072904946298</v>
      </c>
      <c r="M99" s="110">
        <f>'Pseudo-load coefficients'!M289</f>
        <v>1.5762072904946298</v>
      </c>
      <c r="N99" s="110">
        <f>'Pseudo-load coefficients'!N289</f>
        <v>1.3864961741440753</v>
      </c>
      <c r="O99" s="110">
        <f>'Pseudo-load coefficients'!O289</f>
        <v>1.1787435426587205</v>
      </c>
      <c r="P99" s="110">
        <f>'Pseudo-load coefficients'!P289</f>
        <v>1.2137377075683233</v>
      </c>
      <c r="Q99" s="110">
        <f>'Pseudo-load coefficients'!Q289</f>
        <v>1.2448988455514018</v>
      </c>
      <c r="R99" s="110">
        <f>'Pseudo-load coefficients'!R289</f>
        <v>1.1696008312719401</v>
      </c>
      <c r="S99" s="110">
        <f>'Pseudo-load coefficients'!S289</f>
        <v>1.1696008312719401</v>
      </c>
      <c r="T99" s="110">
        <f>'Pseudo-load coefficients'!T289</f>
        <v>1.1696008312719401</v>
      </c>
      <c r="U99" s="110">
        <f>'Pseudo-load coefficients'!U289</f>
        <v>1.1696008312719401</v>
      </c>
      <c r="V99" s="110">
        <f>'Pseudo-load coefficients'!V289</f>
        <v>1.1696008312719401</v>
      </c>
      <c r="W99" s="110">
        <f>'Pseudo-load coefficients'!W289</f>
        <v>1.1696008312719401</v>
      </c>
      <c r="X99" s="110">
        <f>'Pseudo-load coefficients'!X289</f>
        <v>1.1696008312719401</v>
      </c>
      <c r="Y99" s="110">
        <f>'Pseudo-load coefficients'!Y289</f>
        <v>1.1696008312719401</v>
      </c>
      <c r="AQ99" s="3"/>
    </row>
    <row r="100" spans="5:43" x14ac:dyDescent="0.35">
      <c r="E100" s="27"/>
      <c r="F100" t="s">
        <v>198</v>
      </c>
      <c r="G100" t="s">
        <v>283</v>
      </c>
      <c r="J100" s="110">
        <f>'Pseudo-load coefficients'!J290</f>
        <v>1.6850345048359763</v>
      </c>
      <c r="K100" s="110">
        <f>'Pseudo-load coefficients'!K290</f>
        <v>1.6850345048359763</v>
      </c>
      <c r="L100" s="110">
        <f>'Pseudo-load coefficients'!L290</f>
        <v>1.5762072904946298</v>
      </c>
      <c r="M100" s="110">
        <f>'Pseudo-load coefficients'!M290</f>
        <v>1.5762072904946298</v>
      </c>
      <c r="N100" s="110">
        <f>'Pseudo-load coefficients'!N290</f>
        <v>1.3864961741440753</v>
      </c>
      <c r="O100" s="110">
        <f>'Pseudo-load coefficients'!O290</f>
        <v>1.1787435426587205</v>
      </c>
      <c r="P100" s="110">
        <f>'Pseudo-load coefficients'!P290</f>
        <v>1.2137377075683233</v>
      </c>
      <c r="Q100" s="110">
        <f>'Pseudo-load coefficients'!Q290</f>
        <v>1.2448988455514018</v>
      </c>
      <c r="R100" s="110">
        <f>'Pseudo-load coefficients'!R290</f>
        <v>1.1696008312719401</v>
      </c>
      <c r="S100" s="110">
        <f>'Pseudo-load coefficients'!S290</f>
        <v>1.1696008312719401</v>
      </c>
      <c r="T100" s="110">
        <f>'Pseudo-load coefficients'!T290</f>
        <v>1.1696008312719401</v>
      </c>
      <c r="U100" s="110">
        <f>'Pseudo-load coefficients'!U290</f>
        <v>1.1696008312719401</v>
      </c>
      <c r="V100" s="110">
        <f>'Pseudo-load coefficients'!V290</f>
        <v>1.1696008312719401</v>
      </c>
      <c r="W100" s="110">
        <f>'Pseudo-load coefficients'!W290</f>
        <v>1.1696008312719401</v>
      </c>
      <c r="X100" s="110">
        <f>'Pseudo-load coefficients'!X290</f>
        <v>1.1696008312719401</v>
      </c>
      <c r="Y100" s="110">
        <f>'Pseudo-load coefficients'!Y290</f>
        <v>1.1696008312719401</v>
      </c>
      <c r="AQ100" s="3"/>
    </row>
    <row r="101" spans="5:43" x14ac:dyDescent="0.35">
      <c r="E101" s="27"/>
      <c r="F101" s="28" t="s">
        <v>199</v>
      </c>
      <c r="G101" s="28" t="s">
        <v>283</v>
      </c>
      <c r="H101" s="28"/>
      <c r="I101" s="28"/>
      <c r="J101" s="115">
        <f>'Pseudo-load coefficients'!J291</f>
        <v>1.6850345048359763</v>
      </c>
      <c r="K101" s="115">
        <f>'Pseudo-load coefficients'!K291</f>
        <v>1.6850345048359763</v>
      </c>
      <c r="L101" s="115">
        <f>'Pseudo-load coefficients'!L291</f>
        <v>1.5762072904946298</v>
      </c>
      <c r="M101" s="115">
        <f>'Pseudo-load coefficients'!M291</f>
        <v>1.5762072904946298</v>
      </c>
      <c r="N101" s="115">
        <f>'Pseudo-load coefficients'!N291</f>
        <v>1.3864961741440753</v>
      </c>
      <c r="O101" s="115">
        <f>'Pseudo-load coefficients'!O291</f>
        <v>1.1787435426587205</v>
      </c>
      <c r="P101" s="115">
        <f>'Pseudo-load coefficients'!P291</f>
        <v>1.2137377075683233</v>
      </c>
      <c r="Q101" s="115">
        <f>'Pseudo-load coefficients'!Q291</f>
        <v>1.2448988455514018</v>
      </c>
      <c r="R101" s="115">
        <f>'Pseudo-load coefficients'!R291</f>
        <v>1.1696008312719401</v>
      </c>
      <c r="S101" s="115">
        <f>'Pseudo-load coefficients'!S291</f>
        <v>1.1696008312719401</v>
      </c>
      <c r="T101" s="115">
        <f>'Pseudo-load coefficients'!T291</f>
        <v>1.1696008312719401</v>
      </c>
      <c r="U101" s="115">
        <f>'Pseudo-load coefficients'!U291</f>
        <v>1.1696008312719401</v>
      </c>
      <c r="V101" s="115">
        <f>'Pseudo-load coefficients'!V291</f>
        <v>1.1696008312719401</v>
      </c>
      <c r="W101" s="115">
        <f>'Pseudo-load coefficients'!W291</f>
        <v>1.1696008312719401</v>
      </c>
      <c r="X101" s="115">
        <f>'Pseudo-load coefficients'!X291</f>
        <v>1.1696008312719401</v>
      </c>
      <c r="Y101" s="115">
        <f>'Pseudo-load coefficients'!Y291</f>
        <v>1.1696008312719401</v>
      </c>
      <c r="AQ101" s="3"/>
    </row>
    <row r="102" spans="5:43" x14ac:dyDescent="0.35">
      <c r="E102" s="27"/>
      <c r="J102" s="79"/>
      <c r="K102" s="79"/>
      <c r="L102" s="79"/>
      <c r="M102" s="79"/>
      <c r="N102" s="79"/>
      <c r="O102" s="79"/>
      <c r="P102" s="79"/>
      <c r="Q102" s="79"/>
      <c r="R102" s="79"/>
      <c r="S102" s="79"/>
      <c r="T102" s="79"/>
      <c r="U102" s="79"/>
      <c r="V102" s="79"/>
      <c r="W102" s="79"/>
      <c r="X102" s="79"/>
      <c r="Y102" s="79"/>
      <c r="AQ102" s="3"/>
    </row>
    <row r="103" spans="5:43" x14ac:dyDescent="0.35">
      <c r="E103" s="27" t="s">
        <v>510</v>
      </c>
      <c r="J103" s="79"/>
      <c r="K103" s="79"/>
      <c r="L103" s="79"/>
      <c r="M103" s="79"/>
      <c r="N103" s="79"/>
      <c r="O103" s="79"/>
      <c r="P103" s="79"/>
      <c r="Q103" s="79"/>
      <c r="R103" s="79"/>
      <c r="S103" s="79"/>
      <c r="T103" s="79"/>
      <c r="U103" s="79"/>
      <c r="V103" s="79"/>
      <c r="W103" s="79"/>
      <c r="X103" s="79"/>
      <c r="Y103" s="79"/>
      <c r="AQ103" s="3"/>
    </row>
    <row r="104" spans="5:43" x14ac:dyDescent="0.35">
      <c r="E104" s="24" t="s">
        <v>511</v>
      </c>
      <c r="J104" s="79"/>
      <c r="K104" s="79"/>
      <c r="L104" s="79"/>
      <c r="M104" s="79"/>
      <c r="N104" s="79"/>
      <c r="O104" s="79"/>
      <c r="P104" s="79"/>
      <c r="Q104" s="79"/>
      <c r="R104" s="79"/>
      <c r="S104" s="79"/>
      <c r="T104" s="79"/>
      <c r="U104" s="79"/>
      <c r="V104" s="79"/>
      <c r="W104" s="79"/>
      <c r="X104" s="79"/>
      <c r="Y104" s="79"/>
      <c r="AQ104" s="3"/>
    </row>
    <row r="105" spans="5:43" x14ac:dyDescent="0.35">
      <c r="E105" s="27"/>
      <c r="F105" s="19" t="s">
        <v>191</v>
      </c>
      <c r="G105" s="19" t="s">
        <v>172</v>
      </c>
      <c r="H105" s="19"/>
      <c r="I105" s="19"/>
      <c r="J105" s="148">
        <f t="shared" ref="J105:Y105" si="10">J$57 * J34 * J93 / hours_in_year / $H45</f>
        <v>228.12823978756708</v>
      </c>
      <c r="K105" s="148">
        <f t="shared" si="10"/>
        <v>1.6306667860559334</v>
      </c>
      <c r="L105" s="148">
        <f t="shared" si="10"/>
        <v>78.8557569491865</v>
      </c>
      <c r="M105" s="148">
        <f t="shared" si="10"/>
        <v>0.32244568540571417</v>
      </c>
      <c r="N105" s="148">
        <f t="shared" si="10"/>
        <v>104.50226169879204</v>
      </c>
      <c r="O105" s="148">
        <f t="shared" si="10"/>
        <v>4.9559406831124493</v>
      </c>
      <c r="P105" s="148">
        <f t="shared" si="10"/>
        <v>63.326024274975452</v>
      </c>
      <c r="Q105" s="148">
        <f t="shared" si="10"/>
        <v>4.7387830123558192</v>
      </c>
      <c r="R105" s="148">
        <f t="shared" si="10"/>
        <v>-0.2441822065663351</v>
      </c>
      <c r="S105" s="148">
        <f t="shared" si="10"/>
        <v>-4.9337830180860177E-3</v>
      </c>
      <c r="T105" s="148">
        <f t="shared" si="10"/>
        <v>-1.1037704046085588</v>
      </c>
      <c r="U105" s="148">
        <f t="shared" si="10"/>
        <v>0</v>
      </c>
      <c r="V105" s="148">
        <f t="shared" si="10"/>
        <v>0</v>
      </c>
      <c r="W105" s="148">
        <f t="shared" si="10"/>
        <v>0</v>
      </c>
      <c r="X105" s="148">
        <f t="shared" si="10"/>
        <v>-15.133749096115626</v>
      </c>
      <c r="Y105" s="148">
        <f t="shared" si="10"/>
        <v>0</v>
      </c>
      <c r="AQ105" s="3"/>
    </row>
    <row r="106" spans="5:43" x14ac:dyDescent="0.35">
      <c r="E106" s="27"/>
      <c r="F106" t="s">
        <v>192</v>
      </c>
      <c r="G106" t="s">
        <v>172</v>
      </c>
      <c r="J106" s="79">
        <f t="shared" ref="J106:Y106" si="11">J$57 * J35 * J94 / hours_in_year / $H46</f>
        <v>462.98318810113716</v>
      </c>
      <c r="K106" s="79">
        <f t="shared" si="11"/>
        <v>3.3094162653507517</v>
      </c>
      <c r="L106" s="79">
        <f t="shared" si="11"/>
        <v>160.03669596740778</v>
      </c>
      <c r="M106" s="79">
        <f t="shared" si="11"/>
        <v>0.65439917284072247</v>
      </c>
      <c r="N106" s="79">
        <f t="shared" si="11"/>
        <v>212.08593171165538</v>
      </c>
      <c r="O106" s="79">
        <f t="shared" si="11"/>
        <v>10.058014823785877</v>
      </c>
      <c r="P106" s="79">
        <f t="shared" si="11"/>
        <v>128.51931280362251</v>
      </c>
      <c r="Q106" s="79">
        <f t="shared" si="11"/>
        <v>4.9439652193507397</v>
      </c>
      <c r="R106" s="79">
        <f t="shared" si="11"/>
        <v>-0.49556449731487201</v>
      </c>
      <c r="S106" s="79">
        <f t="shared" si="11"/>
        <v>-1.001304614123975E-2</v>
      </c>
      <c r="T106" s="79">
        <f t="shared" si="11"/>
        <v>-2.2400871603323678</v>
      </c>
      <c r="U106" s="79">
        <f t="shared" si="11"/>
        <v>0</v>
      </c>
      <c r="V106" s="79">
        <f t="shared" si="11"/>
        <v>0</v>
      </c>
      <c r="W106" s="79">
        <f t="shared" si="11"/>
        <v>0</v>
      </c>
      <c r="X106" s="79">
        <f t="shared" si="11"/>
        <v>-30.713739828821385</v>
      </c>
      <c r="Y106" s="79">
        <f t="shared" si="11"/>
        <v>0</v>
      </c>
      <c r="AQ106" s="3"/>
    </row>
    <row r="107" spans="5:43" x14ac:dyDescent="0.35">
      <c r="E107" s="27"/>
      <c r="F107" t="s">
        <v>193</v>
      </c>
      <c r="G107" t="s">
        <v>172</v>
      </c>
      <c r="J107" s="79">
        <f t="shared" ref="J107:Y107" si="12">J$57 * J36 * J95 / hours_in_year / $H47</f>
        <v>461.14595322771993</v>
      </c>
      <c r="K107" s="79">
        <f t="shared" si="12"/>
        <v>3.2962836611231694</v>
      </c>
      <c r="L107" s="79">
        <f t="shared" si="12"/>
        <v>159.40162971356887</v>
      </c>
      <c r="M107" s="79">
        <f t="shared" si="12"/>
        <v>0.65180235072627513</v>
      </c>
      <c r="N107" s="79">
        <f t="shared" si="12"/>
        <v>211.24432087152977</v>
      </c>
      <c r="O107" s="79">
        <f t="shared" si="12"/>
        <v>10.018102066548632</v>
      </c>
      <c r="P107" s="79">
        <f t="shared" si="12"/>
        <v>128.00931553059226</v>
      </c>
      <c r="Q107" s="79">
        <f t="shared" si="12"/>
        <v>4.9243463097501419</v>
      </c>
      <c r="R107" s="79">
        <f t="shared" si="12"/>
        <v>-0.49359797153187651</v>
      </c>
      <c r="S107" s="79">
        <f t="shared" si="12"/>
        <v>-9.973311831155466E-3</v>
      </c>
      <c r="T107" s="79">
        <f t="shared" si="12"/>
        <v>-2.2311979255691443</v>
      </c>
      <c r="U107" s="79">
        <f t="shared" si="12"/>
        <v>0</v>
      </c>
      <c r="V107" s="79">
        <f t="shared" si="12"/>
        <v>0</v>
      </c>
      <c r="W107" s="79">
        <f t="shared" si="12"/>
        <v>0</v>
      </c>
      <c r="X107" s="79">
        <f t="shared" si="12"/>
        <v>-30.591859908865747</v>
      </c>
      <c r="Y107" s="79">
        <f t="shared" si="12"/>
        <v>0</v>
      </c>
      <c r="AQ107" s="3"/>
    </row>
    <row r="108" spans="5:43" x14ac:dyDescent="0.35">
      <c r="E108" s="27"/>
      <c r="F108" t="s">
        <v>194</v>
      </c>
      <c r="G108" t="s">
        <v>172</v>
      </c>
      <c r="J108" s="79">
        <f t="shared" ref="J108:Y108" si="13">J$57 * J37 * J96 / hours_in_year / $H48</f>
        <v>679.08772708224126</v>
      </c>
      <c r="K108" s="79">
        <f t="shared" si="13"/>
        <v>4.8541373150575566</v>
      </c>
      <c r="L108" s="79">
        <f t="shared" si="13"/>
        <v>234.73629044715565</v>
      </c>
      <c r="M108" s="79">
        <f t="shared" si="13"/>
        <v>0.95985007298327318</v>
      </c>
      <c r="N108" s="79">
        <f t="shared" si="13"/>
        <v>311.08030920709314</v>
      </c>
      <c r="O108" s="79">
        <f t="shared" si="13"/>
        <v>14.752748266427746</v>
      </c>
      <c r="P108" s="79">
        <f t="shared" si="13"/>
        <v>188.50768291594744</v>
      </c>
      <c r="Q108" s="79">
        <f t="shared" si="13"/>
        <v>6.7918502542942329</v>
      </c>
      <c r="R108" s="79">
        <f t="shared" si="13"/>
        <v>-0.72687686454544798</v>
      </c>
      <c r="S108" s="79">
        <f t="shared" si="13"/>
        <v>-1.4686789758203334E-2</v>
      </c>
      <c r="T108" s="79">
        <f t="shared" si="13"/>
        <v>-3.2856823687600407</v>
      </c>
      <c r="U108" s="79">
        <f t="shared" si="13"/>
        <v>0</v>
      </c>
      <c r="V108" s="79">
        <f t="shared" si="13"/>
        <v>0</v>
      </c>
      <c r="W108" s="79">
        <f t="shared" si="13"/>
        <v>0</v>
      </c>
      <c r="X108" s="79">
        <f t="shared" si="13"/>
        <v>-45.049851283138622</v>
      </c>
      <c r="Y108" s="79">
        <f t="shared" si="13"/>
        <v>0</v>
      </c>
      <c r="AQ108" s="3"/>
    </row>
    <row r="109" spans="5:43" x14ac:dyDescent="0.35">
      <c r="E109" s="27"/>
      <c r="F109" t="s">
        <v>195</v>
      </c>
      <c r="G109" t="s">
        <v>172</v>
      </c>
      <c r="J109" s="79">
        <f t="shared" ref="J109:Y109" si="14">J$57 * J38 * J97 / hours_in_year / $H49</f>
        <v>675.75232567221053</v>
      </c>
      <c r="K109" s="79">
        <f t="shared" si="14"/>
        <v>4.8302957761820275</v>
      </c>
      <c r="L109" s="79">
        <f t="shared" si="14"/>
        <v>233.58336171214995</v>
      </c>
      <c r="M109" s="79">
        <f t="shared" si="14"/>
        <v>0.95513568166213714</v>
      </c>
      <c r="N109" s="79">
        <f t="shared" si="14"/>
        <v>309.55240984949444</v>
      </c>
      <c r="O109" s="79">
        <f t="shared" si="14"/>
        <v>14.680288795571027</v>
      </c>
      <c r="P109" s="79">
        <f t="shared" si="14"/>
        <v>187.58181021007343</v>
      </c>
      <c r="Q109" s="79">
        <f t="shared" si="14"/>
        <v>6.7584914612967157</v>
      </c>
      <c r="R109" s="79">
        <f t="shared" si="14"/>
        <v>-0.72330674242096138</v>
      </c>
      <c r="S109" s="79">
        <f t="shared" si="14"/>
        <v>-1.4614654248585438E-2</v>
      </c>
      <c r="T109" s="79">
        <f t="shared" si="14"/>
        <v>-3.2695444396403937</v>
      </c>
      <c r="U109" s="79">
        <f t="shared" si="14"/>
        <v>0</v>
      </c>
      <c r="V109" s="79">
        <f t="shared" si="14"/>
        <v>0</v>
      </c>
      <c r="W109" s="79">
        <f t="shared" si="14"/>
        <v>0</v>
      </c>
      <c r="X109" s="79">
        <f t="shared" si="14"/>
        <v>-44.828584823005322</v>
      </c>
      <c r="Y109" s="79">
        <f t="shared" si="14"/>
        <v>0</v>
      </c>
      <c r="AQ109" s="3"/>
    </row>
    <row r="110" spans="5:43" x14ac:dyDescent="0.35">
      <c r="E110" s="27"/>
      <c r="F110" t="s">
        <v>196</v>
      </c>
      <c r="G110" t="s">
        <v>172</v>
      </c>
      <c r="J110" s="79">
        <f t="shared" ref="J110:Y110" si="15">J$57 * J39 * J98 / hours_in_year / $H50</f>
        <v>0</v>
      </c>
      <c r="K110" s="79">
        <f t="shared" si="15"/>
        <v>0</v>
      </c>
      <c r="L110" s="79">
        <f t="shared" si="15"/>
        <v>0</v>
      </c>
      <c r="M110" s="79">
        <f t="shared" si="15"/>
        <v>0</v>
      </c>
      <c r="N110" s="79">
        <f t="shared" si="15"/>
        <v>0</v>
      </c>
      <c r="O110" s="79">
        <f t="shared" si="15"/>
        <v>0</v>
      </c>
      <c r="P110" s="79">
        <f t="shared" si="15"/>
        <v>0</v>
      </c>
      <c r="Q110" s="79">
        <f t="shared" si="15"/>
        <v>0</v>
      </c>
      <c r="R110" s="79">
        <f t="shared" si="15"/>
        <v>0</v>
      </c>
      <c r="S110" s="79">
        <f t="shared" si="15"/>
        <v>0</v>
      </c>
      <c r="T110" s="79">
        <f t="shared" si="15"/>
        <v>0</v>
      </c>
      <c r="U110" s="79">
        <f t="shared" si="15"/>
        <v>0</v>
      </c>
      <c r="V110" s="79">
        <f t="shared" si="15"/>
        <v>0</v>
      </c>
      <c r="W110" s="79">
        <f t="shared" si="15"/>
        <v>0</v>
      </c>
      <c r="X110" s="79">
        <f t="shared" si="15"/>
        <v>0</v>
      </c>
      <c r="Y110" s="79">
        <f t="shared" si="15"/>
        <v>0</v>
      </c>
      <c r="AQ110" s="3"/>
    </row>
    <row r="111" spans="5:43" x14ac:dyDescent="0.35">
      <c r="E111" s="27"/>
      <c r="F111" t="s">
        <v>197</v>
      </c>
      <c r="G111" t="s">
        <v>172</v>
      </c>
      <c r="J111" s="79">
        <f t="shared" ref="J111:Y111" si="16">J$57 * J40 * J99 / hours_in_year / $H51</f>
        <v>1070.845137100793</v>
      </c>
      <c r="K111" s="79">
        <f t="shared" si="16"/>
        <v>7.6544298053841473</v>
      </c>
      <c r="L111" s="79">
        <f t="shared" si="16"/>
        <v>370.15278748510514</v>
      </c>
      <c r="M111" s="79">
        <f t="shared" si="16"/>
        <v>1.5135758489057491</v>
      </c>
      <c r="N111" s="79">
        <f t="shared" si="16"/>
        <v>490.53873759948556</v>
      </c>
      <c r="O111" s="79">
        <f t="shared" si="16"/>
        <v>23.263428434870075</v>
      </c>
      <c r="P111" s="79">
        <f t="shared" si="16"/>
        <v>297.25546127007811</v>
      </c>
      <c r="Q111" s="79">
        <f t="shared" si="16"/>
        <v>10.361723080182262</v>
      </c>
      <c r="R111" s="79">
        <f t="shared" si="16"/>
        <v>-1.1462032438929637</v>
      </c>
      <c r="S111" s="79">
        <f t="shared" si="16"/>
        <v>-2.3159419269388602E-2</v>
      </c>
      <c r="T111" s="79">
        <f t="shared" si="16"/>
        <v>-5.1811523700507083</v>
      </c>
      <c r="U111" s="79">
        <f t="shared" si="16"/>
        <v>0</v>
      </c>
      <c r="V111" s="79">
        <f t="shared" si="16"/>
        <v>0</v>
      </c>
      <c r="W111" s="79">
        <f t="shared" si="16"/>
        <v>0</v>
      </c>
      <c r="X111" s="79">
        <f t="shared" si="16"/>
        <v>0</v>
      </c>
      <c r="Y111" s="79">
        <f t="shared" si="16"/>
        <v>0</v>
      </c>
      <c r="AQ111" s="3"/>
    </row>
    <row r="112" spans="5:43" x14ac:dyDescent="0.35">
      <c r="E112" s="27"/>
      <c r="F112" t="s">
        <v>198</v>
      </c>
      <c r="G112" t="s">
        <v>172</v>
      </c>
      <c r="J112" s="79">
        <f t="shared" ref="J112:Y112" si="17">J$57 * J41 * J100 / hours_in_year / $H52</f>
        <v>1054.4179825527463</v>
      </c>
      <c r="K112" s="79">
        <f t="shared" si="17"/>
        <v>7.5370080634031815</v>
      </c>
      <c r="L112" s="79">
        <f t="shared" si="17"/>
        <v>364.47450886596641</v>
      </c>
      <c r="M112" s="79">
        <f t="shared" si="17"/>
        <v>1.4903570439369169</v>
      </c>
      <c r="N112" s="79">
        <f t="shared" si="17"/>
        <v>483.01369464493928</v>
      </c>
      <c r="O112" s="79">
        <f t="shared" si="17"/>
        <v>22.906558967029305</v>
      </c>
      <c r="P112" s="79">
        <f t="shared" si="17"/>
        <v>0</v>
      </c>
      <c r="Q112" s="79">
        <f t="shared" si="17"/>
        <v>10.202770473007845</v>
      </c>
      <c r="R112" s="79">
        <f t="shared" si="17"/>
        <v>-1.1286200685312306</v>
      </c>
      <c r="S112" s="79">
        <f t="shared" si="17"/>
        <v>0</v>
      </c>
      <c r="T112" s="79">
        <f t="shared" si="17"/>
        <v>-5.1016716050259614</v>
      </c>
      <c r="U112" s="79">
        <f t="shared" si="17"/>
        <v>0</v>
      </c>
      <c r="V112" s="79">
        <f t="shared" si="17"/>
        <v>0</v>
      </c>
      <c r="W112" s="79">
        <f t="shared" si="17"/>
        <v>0</v>
      </c>
      <c r="X112" s="79">
        <f t="shared" si="17"/>
        <v>0</v>
      </c>
      <c r="Y112" s="79">
        <f t="shared" si="17"/>
        <v>0</v>
      </c>
      <c r="AQ112" s="3"/>
    </row>
    <row r="113" spans="5:43" x14ac:dyDescent="0.35">
      <c r="E113" s="27"/>
      <c r="F113" s="28" t="s">
        <v>199</v>
      </c>
      <c r="G113" s="28" t="s">
        <v>172</v>
      </c>
      <c r="H113" s="28"/>
      <c r="I113" s="28"/>
      <c r="J113" s="72">
        <f t="shared" ref="J113:Y113" si="18">J$57 * J42 * J101 / hours_in_year / $H53</f>
        <v>1008.9522530298295</v>
      </c>
      <c r="K113" s="72">
        <f t="shared" si="18"/>
        <v>7.212017807458273</v>
      </c>
      <c r="L113" s="72">
        <f t="shared" si="18"/>
        <v>348.75863554789254</v>
      </c>
      <c r="M113" s="72">
        <f t="shared" si="18"/>
        <v>1.426093942042389</v>
      </c>
      <c r="N113" s="72">
        <f t="shared" si="18"/>
        <v>462.18649863731338</v>
      </c>
      <c r="O113" s="72">
        <f t="shared" si="18"/>
        <v>0</v>
      </c>
      <c r="P113" s="72">
        <f t="shared" si="18"/>
        <v>0</v>
      </c>
      <c r="Q113" s="72">
        <f t="shared" si="18"/>
        <v>9.7628344984836524</v>
      </c>
      <c r="R113" s="72">
        <f t="shared" si="18"/>
        <v>0</v>
      </c>
      <c r="S113" s="72">
        <f t="shared" si="18"/>
        <v>0</v>
      </c>
      <c r="T113" s="72">
        <f t="shared" si="18"/>
        <v>0</v>
      </c>
      <c r="U113" s="72">
        <f t="shared" si="18"/>
        <v>0</v>
      </c>
      <c r="V113" s="72">
        <f t="shared" si="18"/>
        <v>0</v>
      </c>
      <c r="W113" s="72">
        <f t="shared" si="18"/>
        <v>0</v>
      </c>
      <c r="X113" s="72">
        <f t="shared" si="18"/>
        <v>0</v>
      </c>
      <c r="Y113" s="72">
        <f t="shared" si="18"/>
        <v>0</v>
      </c>
      <c r="AQ113" s="3"/>
    </row>
    <row r="114" spans="5:43" x14ac:dyDescent="0.35">
      <c r="E114" s="27"/>
      <c r="J114" s="79"/>
      <c r="K114" s="79"/>
      <c r="L114" s="79"/>
      <c r="M114" s="79"/>
      <c r="N114" s="79"/>
      <c r="O114" s="79"/>
      <c r="P114" s="79"/>
      <c r="Q114" s="79"/>
      <c r="R114" s="79"/>
      <c r="S114" s="79"/>
      <c r="T114" s="79"/>
      <c r="U114" s="79"/>
      <c r="V114" s="79"/>
      <c r="W114" s="79"/>
      <c r="X114" s="79"/>
      <c r="Y114" s="79"/>
      <c r="AQ114" s="3"/>
    </row>
    <row r="115" spans="5:43" x14ac:dyDescent="0.35">
      <c r="E115" s="27" t="s">
        <v>512</v>
      </c>
      <c r="J115" s="79"/>
      <c r="K115" s="79"/>
      <c r="L115" s="79"/>
      <c r="M115" s="79"/>
      <c r="N115" s="79"/>
      <c r="O115" s="79"/>
      <c r="P115" s="79"/>
      <c r="Q115" s="79"/>
      <c r="R115" s="79"/>
      <c r="S115" s="79"/>
      <c r="T115" s="79"/>
      <c r="U115" s="79"/>
      <c r="V115" s="79"/>
      <c r="W115" s="79"/>
      <c r="X115" s="79"/>
      <c r="Y115" s="79"/>
      <c r="AQ115" s="3"/>
    </row>
    <row r="116" spans="5:43" x14ac:dyDescent="0.35">
      <c r="E116" s="27"/>
      <c r="F116" s="19" t="s">
        <v>191</v>
      </c>
      <c r="G116" s="19" t="s">
        <v>283</v>
      </c>
      <c r="H116" s="19"/>
      <c r="I116" s="19"/>
      <c r="J116" s="114">
        <f>'Pseudo-load coefficients'!J294</f>
        <v>0</v>
      </c>
      <c r="K116" s="114">
        <f>'Pseudo-load coefficients'!K294</f>
        <v>0</v>
      </c>
      <c r="L116" s="114">
        <f>'Pseudo-load coefficients'!L294</f>
        <v>0</v>
      </c>
      <c r="M116" s="114">
        <f>'Pseudo-load coefficients'!M294</f>
        <v>0</v>
      </c>
      <c r="N116" s="114">
        <f>'Pseudo-load coefficients'!N294</f>
        <v>0</v>
      </c>
      <c r="O116" s="114">
        <f>'Pseudo-load coefficients'!O294</f>
        <v>0</v>
      </c>
      <c r="P116" s="114">
        <f>'Pseudo-load coefficients'!P294</f>
        <v>0</v>
      </c>
      <c r="Q116" s="114">
        <f>'Pseudo-load coefficients'!Q294</f>
        <v>0</v>
      </c>
      <c r="R116" s="114">
        <f>'Pseudo-load coefficients'!R294</f>
        <v>0</v>
      </c>
      <c r="S116" s="114">
        <f>'Pseudo-load coefficients'!S294</f>
        <v>0</v>
      </c>
      <c r="T116" s="114">
        <f>'Pseudo-load coefficients'!T294</f>
        <v>0</v>
      </c>
      <c r="U116" s="114">
        <f>'Pseudo-load coefficients'!U294</f>
        <v>0</v>
      </c>
      <c r="V116" s="114">
        <f>'Pseudo-load coefficients'!V294</f>
        <v>0</v>
      </c>
      <c r="W116" s="114">
        <f>'Pseudo-load coefficients'!W294</f>
        <v>0</v>
      </c>
      <c r="X116" s="114">
        <f>'Pseudo-load coefficients'!X294</f>
        <v>0</v>
      </c>
      <c r="Y116" s="114">
        <f>'Pseudo-load coefficients'!Y294</f>
        <v>0</v>
      </c>
      <c r="AQ116" s="3"/>
    </row>
    <row r="117" spans="5:43" x14ac:dyDescent="0.35">
      <c r="E117" s="27"/>
      <c r="F117" t="s">
        <v>192</v>
      </c>
      <c r="G117" t="s">
        <v>283</v>
      </c>
      <c r="J117" s="110">
        <f>'Pseudo-load coefficients'!J295</f>
        <v>3.2341279594959714E-2</v>
      </c>
      <c r="K117" s="110">
        <f>'Pseudo-load coefficients'!K295</f>
        <v>3.2341279594959714E-2</v>
      </c>
      <c r="L117" s="110">
        <f>'Pseudo-load coefficients'!L295</f>
        <v>3.0252532239072958E-2</v>
      </c>
      <c r="M117" s="110">
        <f>'Pseudo-load coefficients'!M295</f>
        <v>3.0252532239072958E-2</v>
      </c>
      <c r="N117" s="110">
        <f>'Pseudo-load coefficients'!N295</f>
        <v>2.6611360358879052E-2</v>
      </c>
      <c r="O117" s="110">
        <f>'Pseudo-load coefficients'!O295</f>
        <v>2.262391326377608E-2</v>
      </c>
      <c r="P117" s="110">
        <f>'Pseudo-load coefficients'!P295</f>
        <v>2.3295564834284278E-2</v>
      </c>
      <c r="Q117" s="110">
        <f>'Pseudo-load coefficients'!Q295</f>
        <v>2.5067107498503841E-2</v>
      </c>
      <c r="R117" s="110">
        <f>'Pseudo-load coefficients'!R295</f>
        <v>2.2448434966822944E-2</v>
      </c>
      <c r="S117" s="110">
        <f>'Pseudo-load coefficients'!S295</f>
        <v>2.2448434966822944E-2</v>
      </c>
      <c r="T117" s="110">
        <f>'Pseudo-load coefficients'!T295</f>
        <v>2.2448434966822944E-2</v>
      </c>
      <c r="U117" s="110">
        <f>'Pseudo-load coefficients'!U295</f>
        <v>2.2448434966822944E-2</v>
      </c>
      <c r="V117" s="110">
        <f>'Pseudo-load coefficients'!V295</f>
        <v>2.2448434966822944E-2</v>
      </c>
      <c r="W117" s="110">
        <f>'Pseudo-load coefficients'!W295</f>
        <v>2.2448434966822944E-2</v>
      </c>
      <c r="X117" s="110">
        <f>'Pseudo-load coefficients'!X295</f>
        <v>2.2448434966822944E-2</v>
      </c>
      <c r="Y117" s="110">
        <f>'Pseudo-load coefficients'!Y295</f>
        <v>2.2448434966822944E-2</v>
      </c>
      <c r="AQ117" s="3"/>
    </row>
    <row r="118" spans="5:43" x14ac:dyDescent="0.35">
      <c r="E118" s="27"/>
      <c r="F118" t="s">
        <v>193</v>
      </c>
      <c r="G118" t="s">
        <v>283</v>
      </c>
      <c r="J118" s="110">
        <f>'Pseudo-load coefficients'!J296</f>
        <v>3.2341279594959714E-2</v>
      </c>
      <c r="K118" s="110">
        <f>'Pseudo-load coefficients'!K296</f>
        <v>3.2341279594959714E-2</v>
      </c>
      <c r="L118" s="110">
        <f>'Pseudo-load coefficients'!L296</f>
        <v>3.0252532239072958E-2</v>
      </c>
      <c r="M118" s="110">
        <f>'Pseudo-load coefficients'!M296</f>
        <v>3.0252532239072958E-2</v>
      </c>
      <c r="N118" s="110">
        <f>'Pseudo-load coefficients'!N296</f>
        <v>2.6611360358879052E-2</v>
      </c>
      <c r="O118" s="110">
        <f>'Pseudo-load coefficients'!O296</f>
        <v>2.262391326377608E-2</v>
      </c>
      <c r="P118" s="110">
        <f>'Pseudo-load coefficients'!P296</f>
        <v>2.3295564834284278E-2</v>
      </c>
      <c r="Q118" s="110">
        <f>'Pseudo-load coefficients'!Q296</f>
        <v>2.5067107498503841E-2</v>
      </c>
      <c r="R118" s="110">
        <f>'Pseudo-load coefficients'!R296</f>
        <v>2.2448434966822944E-2</v>
      </c>
      <c r="S118" s="110">
        <f>'Pseudo-load coefficients'!S296</f>
        <v>2.2448434966822944E-2</v>
      </c>
      <c r="T118" s="110">
        <f>'Pseudo-load coefficients'!T296</f>
        <v>2.2448434966822944E-2</v>
      </c>
      <c r="U118" s="110">
        <f>'Pseudo-load coefficients'!U296</f>
        <v>2.2448434966822944E-2</v>
      </c>
      <c r="V118" s="110">
        <f>'Pseudo-load coefficients'!V296</f>
        <v>2.2448434966822944E-2</v>
      </c>
      <c r="W118" s="110">
        <f>'Pseudo-load coefficients'!W296</f>
        <v>2.2448434966822944E-2</v>
      </c>
      <c r="X118" s="110">
        <f>'Pseudo-load coefficients'!X296</f>
        <v>2.2448434966822944E-2</v>
      </c>
      <c r="Y118" s="110">
        <f>'Pseudo-load coefficients'!Y296</f>
        <v>2.2448434966822944E-2</v>
      </c>
      <c r="AQ118" s="3"/>
    </row>
    <row r="119" spans="5:43" x14ac:dyDescent="0.35">
      <c r="E119" s="27"/>
      <c r="F119" t="s">
        <v>194</v>
      </c>
      <c r="G119" t="s">
        <v>283</v>
      </c>
      <c r="J119" s="110">
        <f>'Pseudo-load coefficients'!J297</f>
        <v>4.9367511387570485E-2</v>
      </c>
      <c r="K119" s="110">
        <f>'Pseudo-load coefficients'!K297</f>
        <v>4.9367511387570485E-2</v>
      </c>
      <c r="L119" s="110">
        <f>'Pseudo-load coefficients'!L297</f>
        <v>4.6179132320046903E-2</v>
      </c>
      <c r="M119" s="110">
        <f>'Pseudo-load coefficients'!M297</f>
        <v>4.6179132320046903E-2</v>
      </c>
      <c r="N119" s="110">
        <f>'Pseudo-load coefficients'!N297</f>
        <v>4.0621046909982042E-2</v>
      </c>
      <c r="O119" s="110">
        <f>'Pseudo-load coefficients'!O297</f>
        <v>3.4534387929874483E-2</v>
      </c>
      <c r="P119" s="110">
        <f>'Pseudo-load coefficients'!P297</f>
        <v>3.5559633899446781E-2</v>
      </c>
      <c r="Q119" s="110">
        <f>'Pseudo-load coefficients'!Q297</f>
        <v>3.8263814245578044E-2</v>
      </c>
      <c r="R119" s="110">
        <f>'Pseudo-load coefficients'!R297</f>
        <v>3.4266528187415331E-2</v>
      </c>
      <c r="S119" s="110">
        <f>'Pseudo-load coefficients'!S297</f>
        <v>3.4266528187415331E-2</v>
      </c>
      <c r="T119" s="110">
        <f>'Pseudo-load coefficients'!T297</f>
        <v>3.4266528187415331E-2</v>
      </c>
      <c r="U119" s="110">
        <f>'Pseudo-load coefficients'!U297</f>
        <v>3.4266528187415331E-2</v>
      </c>
      <c r="V119" s="110">
        <f>'Pseudo-load coefficients'!V297</f>
        <v>3.4266528187415331E-2</v>
      </c>
      <c r="W119" s="110">
        <f>'Pseudo-load coefficients'!W297</f>
        <v>3.4266528187415331E-2</v>
      </c>
      <c r="X119" s="110">
        <f>'Pseudo-load coefficients'!X297</f>
        <v>3.4266528187415331E-2</v>
      </c>
      <c r="Y119" s="110">
        <f>'Pseudo-load coefficients'!Y297</f>
        <v>3.4266528187415331E-2</v>
      </c>
      <c r="AQ119" s="3"/>
    </row>
    <row r="120" spans="5:43" x14ac:dyDescent="0.35">
      <c r="E120" s="27"/>
      <c r="F120" t="s">
        <v>195</v>
      </c>
      <c r="G120" t="s">
        <v>283</v>
      </c>
      <c r="J120" s="110">
        <f>'Pseudo-load coefficients'!J298</f>
        <v>4.9367511387570485E-2</v>
      </c>
      <c r="K120" s="110">
        <f>'Pseudo-load coefficients'!K298</f>
        <v>4.9367511387570485E-2</v>
      </c>
      <c r="L120" s="110">
        <f>'Pseudo-load coefficients'!L298</f>
        <v>4.6179132320046903E-2</v>
      </c>
      <c r="M120" s="110">
        <f>'Pseudo-load coefficients'!M298</f>
        <v>4.6179132320046903E-2</v>
      </c>
      <c r="N120" s="110">
        <f>'Pseudo-load coefficients'!N298</f>
        <v>4.0621046909982042E-2</v>
      </c>
      <c r="O120" s="110">
        <f>'Pseudo-load coefficients'!O298</f>
        <v>3.4534387929874483E-2</v>
      </c>
      <c r="P120" s="110">
        <f>'Pseudo-load coefficients'!P298</f>
        <v>3.5559633899446781E-2</v>
      </c>
      <c r="Q120" s="110">
        <f>'Pseudo-load coefficients'!Q298</f>
        <v>3.8263814245578044E-2</v>
      </c>
      <c r="R120" s="110">
        <f>'Pseudo-load coefficients'!R298</f>
        <v>3.4266528187415331E-2</v>
      </c>
      <c r="S120" s="110">
        <f>'Pseudo-load coefficients'!S298</f>
        <v>3.4266528187415331E-2</v>
      </c>
      <c r="T120" s="110">
        <f>'Pseudo-load coefficients'!T298</f>
        <v>3.4266528187415331E-2</v>
      </c>
      <c r="U120" s="110">
        <f>'Pseudo-load coefficients'!U298</f>
        <v>3.4266528187415331E-2</v>
      </c>
      <c r="V120" s="110">
        <f>'Pseudo-load coefficients'!V298</f>
        <v>3.4266528187415331E-2</v>
      </c>
      <c r="W120" s="110">
        <f>'Pseudo-load coefficients'!W298</f>
        <v>3.4266528187415331E-2</v>
      </c>
      <c r="X120" s="110">
        <f>'Pseudo-load coefficients'!X298</f>
        <v>3.4266528187415331E-2</v>
      </c>
      <c r="Y120" s="110">
        <f>'Pseudo-load coefficients'!Y298</f>
        <v>3.4266528187415331E-2</v>
      </c>
      <c r="AQ120" s="3"/>
    </row>
    <row r="121" spans="5:43" x14ac:dyDescent="0.35">
      <c r="E121" s="27"/>
      <c r="F121" t="s">
        <v>196</v>
      </c>
      <c r="G121" t="s">
        <v>283</v>
      </c>
      <c r="J121" s="110">
        <f>'Pseudo-load coefficients'!J299</f>
        <v>0</v>
      </c>
      <c r="K121" s="110">
        <f>'Pseudo-load coefficients'!K299</f>
        <v>0</v>
      </c>
      <c r="L121" s="110">
        <f>'Pseudo-load coefficients'!L299</f>
        <v>0</v>
      </c>
      <c r="M121" s="110">
        <f>'Pseudo-load coefficients'!M299</f>
        <v>0</v>
      </c>
      <c r="N121" s="110">
        <f>'Pseudo-load coefficients'!N299</f>
        <v>0</v>
      </c>
      <c r="O121" s="110">
        <f>'Pseudo-load coefficients'!O299</f>
        <v>0</v>
      </c>
      <c r="P121" s="110">
        <f>'Pseudo-load coefficients'!P299</f>
        <v>0</v>
      </c>
      <c r="Q121" s="110">
        <f>'Pseudo-load coefficients'!Q299</f>
        <v>0</v>
      </c>
      <c r="R121" s="110">
        <f>'Pseudo-load coefficients'!R299</f>
        <v>0</v>
      </c>
      <c r="S121" s="110">
        <f>'Pseudo-load coefficients'!S299</f>
        <v>0</v>
      </c>
      <c r="T121" s="110">
        <f>'Pseudo-load coefficients'!T299</f>
        <v>0</v>
      </c>
      <c r="U121" s="110">
        <f>'Pseudo-load coefficients'!U299</f>
        <v>0</v>
      </c>
      <c r="V121" s="110">
        <f>'Pseudo-load coefficients'!V299</f>
        <v>0</v>
      </c>
      <c r="W121" s="110">
        <f>'Pseudo-load coefficients'!W299</f>
        <v>0</v>
      </c>
      <c r="X121" s="110">
        <f>'Pseudo-load coefficients'!X299</f>
        <v>0</v>
      </c>
      <c r="Y121" s="110">
        <f>'Pseudo-load coefficients'!Y299</f>
        <v>0</v>
      </c>
      <c r="AQ121" s="3"/>
    </row>
    <row r="122" spans="5:43" x14ac:dyDescent="0.35">
      <c r="E122" s="27"/>
      <c r="F122" t="s">
        <v>197</v>
      </c>
      <c r="G122" t="s">
        <v>283</v>
      </c>
      <c r="J122" s="110">
        <f>'Pseudo-load coefficients'!J300</f>
        <v>8.5534435523114238E-2</v>
      </c>
      <c r="K122" s="110">
        <f>'Pseudo-load coefficients'!K300</f>
        <v>8.5534435523114238E-2</v>
      </c>
      <c r="L122" s="110">
        <f>'Pseudo-load coefficients'!L300</f>
        <v>8.0010231525198997E-2</v>
      </c>
      <c r="M122" s="110">
        <f>'Pseudo-load coefficients'!M300</f>
        <v>8.0010231525198997E-2</v>
      </c>
      <c r="N122" s="110">
        <f>'Pseudo-load coefficients'!N300</f>
        <v>7.038026062375205E-2</v>
      </c>
      <c r="O122" s="110">
        <f>'Pseudo-load coefficients'!O300</f>
        <v>5.9834480100242143E-2</v>
      </c>
      <c r="P122" s="110">
        <f>'Pseudo-load coefficients'!P300</f>
        <v>6.1610827191981375E-2</v>
      </c>
      <c r="Q122" s="110">
        <f>'Pseudo-load coefficients'!Q300</f>
        <v>6.62961056870459E-2</v>
      </c>
      <c r="R122" s="110">
        <f>'Pseudo-load coefficients'!R300</f>
        <v>5.9370384762505939E-2</v>
      </c>
      <c r="S122" s="110">
        <f>'Pseudo-load coefficients'!S300</f>
        <v>5.9370384762505939E-2</v>
      </c>
      <c r="T122" s="110">
        <f>'Pseudo-load coefficients'!T300</f>
        <v>5.9370384762505939E-2</v>
      </c>
      <c r="U122" s="110">
        <f>'Pseudo-load coefficients'!U300</f>
        <v>5.9370384762505939E-2</v>
      </c>
      <c r="V122" s="110">
        <f>'Pseudo-load coefficients'!V300</f>
        <v>5.9370384762505939E-2</v>
      </c>
      <c r="W122" s="110">
        <f>'Pseudo-load coefficients'!W300</f>
        <v>5.9370384762505939E-2</v>
      </c>
      <c r="X122" s="110">
        <f>'Pseudo-load coefficients'!X300</f>
        <v>5.9370384762505939E-2</v>
      </c>
      <c r="Y122" s="110">
        <f>'Pseudo-load coefficients'!Y300</f>
        <v>5.9370384762505939E-2</v>
      </c>
      <c r="AQ122" s="3"/>
    </row>
    <row r="123" spans="5:43" x14ac:dyDescent="0.35">
      <c r="E123" s="27"/>
      <c r="F123" t="s">
        <v>198</v>
      </c>
      <c r="G123" t="s">
        <v>283</v>
      </c>
      <c r="J123" s="110">
        <f>'Pseudo-load coefficients'!J301</f>
        <v>8.5534435523114238E-2</v>
      </c>
      <c r="K123" s="110">
        <f>'Pseudo-load coefficients'!K301</f>
        <v>8.5534435523114238E-2</v>
      </c>
      <c r="L123" s="110">
        <f>'Pseudo-load coefficients'!L301</f>
        <v>8.0010231525198997E-2</v>
      </c>
      <c r="M123" s="110">
        <f>'Pseudo-load coefficients'!M301</f>
        <v>8.0010231525198997E-2</v>
      </c>
      <c r="N123" s="110">
        <f>'Pseudo-load coefficients'!N301</f>
        <v>7.038026062375205E-2</v>
      </c>
      <c r="O123" s="110">
        <f>'Pseudo-load coefficients'!O301</f>
        <v>5.9834480100242143E-2</v>
      </c>
      <c r="P123" s="110">
        <f>'Pseudo-load coefficients'!P301</f>
        <v>6.1610827191981375E-2</v>
      </c>
      <c r="Q123" s="110">
        <f>'Pseudo-load coefficients'!Q301</f>
        <v>6.62961056870459E-2</v>
      </c>
      <c r="R123" s="110">
        <f>'Pseudo-load coefficients'!R301</f>
        <v>5.9370384762505939E-2</v>
      </c>
      <c r="S123" s="110">
        <f>'Pseudo-load coefficients'!S301</f>
        <v>5.9370384762505939E-2</v>
      </c>
      <c r="T123" s="110">
        <f>'Pseudo-load coefficients'!T301</f>
        <v>5.9370384762505939E-2</v>
      </c>
      <c r="U123" s="110">
        <f>'Pseudo-load coefficients'!U301</f>
        <v>5.9370384762505939E-2</v>
      </c>
      <c r="V123" s="110">
        <f>'Pseudo-load coefficients'!V301</f>
        <v>5.9370384762505939E-2</v>
      </c>
      <c r="W123" s="110">
        <f>'Pseudo-load coefficients'!W301</f>
        <v>5.9370384762505939E-2</v>
      </c>
      <c r="X123" s="110">
        <f>'Pseudo-load coefficients'!X301</f>
        <v>5.9370384762505939E-2</v>
      </c>
      <c r="Y123" s="110">
        <f>'Pseudo-load coefficients'!Y301</f>
        <v>5.9370384762505939E-2</v>
      </c>
      <c r="AQ123" s="3"/>
    </row>
    <row r="124" spans="5:43" x14ac:dyDescent="0.35">
      <c r="E124" s="27"/>
      <c r="F124" s="28" t="s">
        <v>199</v>
      </c>
      <c r="G124" s="28" t="s">
        <v>283</v>
      </c>
      <c r="H124" s="28"/>
      <c r="I124" s="28"/>
      <c r="J124" s="115">
        <f>'Pseudo-load coefficients'!J302</f>
        <v>8.5534435523114238E-2</v>
      </c>
      <c r="K124" s="115">
        <f>'Pseudo-load coefficients'!K302</f>
        <v>8.5534435523114238E-2</v>
      </c>
      <c r="L124" s="115">
        <f>'Pseudo-load coefficients'!L302</f>
        <v>8.0010231525198997E-2</v>
      </c>
      <c r="M124" s="115">
        <f>'Pseudo-load coefficients'!M302</f>
        <v>8.0010231525198997E-2</v>
      </c>
      <c r="N124" s="115">
        <f>'Pseudo-load coefficients'!N302</f>
        <v>7.038026062375205E-2</v>
      </c>
      <c r="O124" s="115">
        <f>'Pseudo-load coefficients'!O302</f>
        <v>5.9834480100242143E-2</v>
      </c>
      <c r="P124" s="115">
        <f>'Pseudo-load coefficients'!P302</f>
        <v>6.1610827191981375E-2</v>
      </c>
      <c r="Q124" s="115">
        <f>'Pseudo-load coefficients'!Q302</f>
        <v>6.62961056870459E-2</v>
      </c>
      <c r="R124" s="115">
        <f>'Pseudo-load coefficients'!R302</f>
        <v>5.9370384762505939E-2</v>
      </c>
      <c r="S124" s="115">
        <f>'Pseudo-load coefficients'!S302</f>
        <v>5.9370384762505939E-2</v>
      </c>
      <c r="T124" s="115">
        <f>'Pseudo-load coefficients'!T302</f>
        <v>5.9370384762505939E-2</v>
      </c>
      <c r="U124" s="115">
        <f>'Pseudo-load coefficients'!U302</f>
        <v>5.9370384762505939E-2</v>
      </c>
      <c r="V124" s="115">
        <f>'Pseudo-load coefficients'!V302</f>
        <v>5.9370384762505939E-2</v>
      </c>
      <c r="W124" s="115">
        <f>'Pseudo-load coefficients'!W302</f>
        <v>5.9370384762505939E-2</v>
      </c>
      <c r="X124" s="115">
        <f>'Pseudo-load coefficients'!X302</f>
        <v>5.9370384762505939E-2</v>
      </c>
      <c r="Y124" s="115">
        <f>'Pseudo-load coefficients'!Y302</f>
        <v>5.9370384762505939E-2</v>
      </c>
      <c r="AQ124" s="3"/>
    </row>
    <row r="125" spans="5:43" x14ac:dyDescent="0.35">
      <c r="E125" s="27"/>
      <c r="J125" s="79"/>
      <c r="K125" s="79"/>
      <c r="L125" s="79"/>
      <c r="M125" s="79"/>
      <c r="N125" s="79"/>
      <c r="O125" s="79"/>
      <c r="P125" s="79"/>
      <c r="Q125" s="79"/>
      <c r="R125" s="79"/>
      <c r="S125" s="79"/>
      <c r="T125" s="79"/>
      <c r="U125" s="79"/>
      <c r="V125" s="79"/>
      <c r="W125" s="79"/>
      <c r="X125" s="79"/>
      <c r="Y125" s="79"/>
      <c r="AQ125" s="3"/>
    </row>
    <row r="126" spans="5:43" x14ac:dyDescent="0.35">
      <c r="E126" s="27" t="s">
        <v>513</v>
      </c>
      <c r="J126" s="79"/>
      <c r="K126" s="79"/>
      <c r="L126" s="79"/>
      <c r="M126" s="79"/>
      <c r="N126" s="79"/>
      <c r="O126" s="79"/>
      <c r="P126" s="79"/>
      <c r="Q126" s="79"/>
      <c r="R126" s="79"/>
      <c r="S126" s="79"/>
      <c r="T126" s="79"/>
      <c r="U126" s="79"/>
      <c r="V126" s="79"/>
      <c r="W126" s="79"/>
      <c r="X126" s="79"/>
      <c r="Y126" s="79"/>
      <c r="AQ126" s="3"/>
    </row>
    <row r="127" spans="5:43" x14ac:dyDescent="0.35">
      <c r="E127" s="24" t="s">
        <v>514</v>
      </c>
      <c r="J127" s="79"/>
      <c r="K127" s="79"/>
      <c r="L127" s="79"/>
      <c r="M127" s="79"/>
      <c r="N127" s="79"/>
      <c r="O127" s="79"/>
      <c r="P127" s="79"/>
      <c r="Q127" s="79"/>
      <c r="R127" s="79"/>
      <c r="S127" s="79"/>
      <c r="T127" s="79"/>
      <c r="U127" s="79"/>
      <c r="V127" s="79"/>
      <c r="W127" s="79"/>
      <c r="X127" s="79"/>
      <c r="Y127" s="79"/>
      <c r="AQ127" s="3"/>
    </row>
    <row r="128" spans="5:43" x14ac:dyDescent="0.35">
      <c r="E128" s="27"/>
      <c r="F128" s="19" t="s">
        <v>191</v>
      </c>
      <c r="G128" s="19" t="s">
        <v>172</v>
      </c>
      <c r="H128" s="19"/>
      <c r="I128" s="19"/>
      <c r="J128" s="148">
        <f t="shared" ref="J128:Y128" si="19">J$58 * J34 * J116 / hours_in_year / $H45</f>
        <v>0</v>
      </c>
      <c r="K128" s="148">
        <f t="shared" si="19"/>
        <v>0</v>
      </c>
      <c r="L128" s="148">
        <f t="shared" si="19"/>
        <v>0</v>
      </c>
      <c r="M128" s="148">
        <f t="shared" si="19"/>
        <v>0</v>
      </c>
      <c r="N128" s="148">
        <f t="shared" si="19"/>
        <v>0</v>
      </c>
      <c r="O128" s="148">
        <f t="shared" si="19"/>
        <v>0</v>
      </c>
      <c r="P128" s="148">
        <f t="shared" si="19"/>
        <v>0</v>
      </c>
      <c r="Q128" s="148">
        <f t="shared" si="19"/>
        <v>0</v>
      </c>
      <c r="R128" s="148">
        <f t="shared" si="19"/>
        <v>0</v>
      </c>
      <c r="S128" s="148">
        <f t="shared" si="19"/>
        <v>0</v>
      </c>
      <c r="T128" s="148">
        <f t="shared" si="19"/>
        <v>0</v>
      </c>
      <c r="U128" s="148">
        <f t="shared" si="19"/>
        <v>0</v>
      </c>
      <c r="V128" s="148">
        <f t="shared" si="19"/>
        <v>0</v>
      </c>
      <c r="W128" s="148">
        <f t="shared" si="19"/>
        <v>0</v>
      </c>
      <c r="X128" s="148">
        <f t="shared" si="19"/>
        <v>0</v>
      </c>
      <c r="Y128" s="148">
        <f t="shared" si="19"/>
        <v>0</v>
      </c>
      <c r="AQ128" s="3"/>
    </row>
    <row r="129" spans="3:43" x14ac:dyDescent="0.35">
      <c r="E129" s="27"/>
      <c r="F129" t="s">
        <v>192</v>
      </c>
      <c r="G129" t="s">
        <v>172</v>
      </c>
      <c r="J129" s="79">
        <f t="shared" ref="J129:Y129" si="20">J$58 * J35 * J117 / hours_in_year / $H46</f>
        <v>11.578007773823407</v>
      </c>
      <c r="K129" s="79">
        <f t="shared" si="20"/>
        <v>0.36623556097626664</v>
      </c>
      <c r="L129" s="79">
        <f t="shared" si="20"/>
        <v>3.4599694673113177</v>
      </c>
      <c r="M129" s="79">
        <f t="shared" si="20"/>
        <v>9.5835641147866732E-2</v>
      </c>
      <c r="N129" s="79">
        <f t="shared" si="20"/>
        <v>5.2981271684144868</v>
      </c>
      <c r="O129" s="79">
        <f t="shared" si="20"/>
        <v>0.30067123543773627</v>
      </c>
      <c r="P129" s="79">
        <f t="shared" si="20"/>
        <v>4.0225190012937544</v>
      </c>
      <c r="Q129" s="79">
        <f t="shared" si="20"/>
        <v>0.33361115953042186</v>
      </c>
      <c r="R129" s="79">
        <f t="shared" si="20"/>
        <v>-2.2610008852674262E-3</v>
      </c>
      <c r="S129" s="79">
        <f t="shared" si="20"/>
        <v>-6.4171131051695435E-5</v>
      </c>
      <c r="T129" s="79">
        <f t="shared" si="20"/>
        <v>-3.1207792253068131E-2</v>
      </c>
      <c r="U129" s="79">
        <f t="shared" si="20"/>
        <v>0</v>
      </c>
      <c r="V129" s="79">
        <f t="shared" si="20"/>
        <v>0</v>
      </c>
      <c r="W129" s="79">
        <f t="shared" si="20"/>
        <v>0</v>
      </c>
      <c r="X129" s="79">
        <f t="shared" si="20"/>
        <v>-0.66188017852984304</v>
      </c>
      <c r="Y129" s="79">
        <f t="shared" si="20"/>
        <v>0</v>
      </c>
      <c r="AQ129" s="3"/>
    </row>
    <row r="130" spans="3:43" x14ac:dyDescent="0.35">
      <c r="E130" s="27"/>
      <c r="F130" t="s">
        <v>193</v>
      </c>
      <c r="G130" t="s">
        <v>172</v>
      </c>
      <c r="J130" s="79">
        <f t="shared" ref="J130:Y130" si="21">J$58 * J36 * J118 / hours_in_year / $H47</f>
        <v>11.532063298530456</v>
      </c>
      <c r="K130" s="79">
        <f t="shared" si="21"/>
        <v>0.36478224525810687</v>
      </c>
      <c r="L130" s="79">
        <f t="shared" si="21"/>
        <v>3.4462394297426218</v>
      </c>
      <c r="M130" s="79">
        <f t="shared" si="21"/>
        <v>9.5455340984581541E-2</v>
      </c>
      <c r="N130" s="79">
        <f t="shared" si="21"/>
        <v>5.2771028542541121</v>
      </c>
      <c r="O130" s="79">
        <f t="shared" si="21"/>
        <v>0.29947809561457067</v>
      </c>
      <c r="P130" s="79">
        <f t="shared" si="21"/>
        <v>4.0065566243044932</v>
      </c>
      <c r="Q130" s="79">
        <f t="shared" si="21"/>
        <v>0.33228730572276149</v>
      </c>
      <c r="R130" s="79">
        <f t="shared" si="21"/>
        <v>-2.252028659532238E-3</v>
      </c>
      <c r="S130" s="79">
        <f t="shared" si="21"/>
        <v>-6.3916483706252206E-5</v>
      </c>
      <c r="T130" s="79">
        <f t="shared" si="21"/>
        <v>-3.1083951807619446E-2</v>
      </c>
      <c r="U130" s="79">
        <f t="shared" si="21"/>
        <v>0</v>
      </c>
      <c r="V130" s="79">
        <f t="shared" si="21"/>
        <v>0</v>
      </c>
      <c r="W130" s="79">
        <f t="shared" si="21"/>
        <v>0</v>
      </c>
      <c r="X130" s="79">
        <f t="shared" si="21"/>
        <v>-0.65925366988488332</v>
      </c>
      <c r="Y130" s="79">
        <f t="shared" si="21"/>
        <v>0</v>
      </c>
      <c r="AQ130" s="3"/>
    </row>
    <row r="131" spans="3:43" x14ac:dyDescent="0.35">
      <c r="E131" s="27"/>
      <c r="F131" t="s">
        <v>194</v>
      </c>
      <c r="G131" t="s">
        <v>172</v>
      </c>
      <c r="J131" s="79">
        <f t="shared" ref="J131:Y131" si="22">J$58 * J37 * J119 / hours_in_year / $H48</f>
        <v>17.51629054835513</v>
      </c>
      <c r="K131" s="79">
        <f t="shared" si="22"/>
        <v>0.55407533148353239</v>
      </c>
      <c r="L131" s="79">
        <f t="shared" si="22"/>
        <v>5.2345646731111746</v>
      </c>
      <c r="M131" s="79">
        <f t="shared" si="22"/>
        <v>0.14498910071810905</v>
      </c>
      <c r="N131" s="79">
        <f t="shared" si="22"/>
        <v>8.0155011688540014</v>
      </c>
      <c r="O131" s="79">
        <f t="shared" si="22"/>
        <v>0.45488350175127545</v>
      </c>
      <c r="P131" s="79">
        <f t="shared" si="22"/>
        <v>6.0856421017648721</v>
      </c>
      <c r="Q131" s="79">
        <f t="shared" si="22"/>
        <v>0.50471809266878576</v>
      </c>
      <c r="R131" s="79">
        <f t="shared" si="22"/>
        <v>-3.4206531218586192E-3</v>
      </c>
      <c r="S131" s="79">
        <f t="shared" si="22"/>
        <v>-9.7084075108275672E-5</v>
      </c>
      <c r="T131" s="79">
        <f t="shared" si="22"/>
        <v>-4.7214060238701075E-2</v>
      </c>
      <c r="U131" s="79">
        <f t="shared" si="22"/>
        <v>0</v>
      </c>
      <c r="V131" s="79">
        <f t="shared" si="22"/>
        <v>0</v>
      </c>
      <c r="W131" s="79">
        <f t="shared" si="22"/>
        <v>0</v>
      </c>
      <c r="X131" s="79">
        <f t="shared" si="22"/>
        <v>-1.0013540966467422</v>
      </c>
      <c r="Y131" s="79">
        <f t="shared" si="22"/>
        <v>0</v>
      </c>
      <c r="AQ131" s="3"/>
    </row>
    <row r="132" spans="3:43" x14ac:dyDescent="0.35">
      <c r="E132" s="27"/>
      <c r="F132" t="s">
        <v>195</v>
      </c>
      <c r="G132" t="s">
        <v>172</v>
      </c>
      <c r="J132" s="79">
        <f t="shared" ref="J132:Y132" si="23">J$58 * J38 * J120 / hours_in_year / $H49</f>
        <v>17.430257687115663</v>
      </c>
      <c r="K132" s="79">
        <f t="shared" si="23"/>
        <v>0.55135393987506698</v>
      </c>
      <c r="L132" s="79">
        <f t="shared" si="23"/>
        <v>5.2088546305123966</v>
      </c>
      <c r="M132" s="79">
        <f t="shared" si="23"/>
        <v>0.14427697350436589</v>
      </c>
      <c r="N132" s="79">
        <f t="shared" si="23"/>
        <v>7.9761323026022612</v>
      </c>
      <c r="O132" s="79">
        <f t="shared" si="23"/>
        <v>0.45264929987626917</v>
      </c>
      <c r="P132" s="79">
        <f t="shared" si="23"/>
        <v>6.0557519146245724</v>
      </c>
      <c r="Q132" s="79">
        <f t="shared" si="23"/>
        <v>0.5022391236478192</v>
      </c>
      <c r="R132" s="79">
        <f t="shared" si="23"/>
        <v>-3.4038522715547945E-3</v>
      </c>
      <c r="S132" s="79">
        <f t="shared" si="23"/>
        <v>-9.6607237804207497E-5</v>
      </c>
      <c r="T132" s="79">
        <f t="shared" si="23"/>
        <v>-4.6982164068569927E-2</v>
      </c>
      <c r="U132" s="79">
        <f t="shared" si="23"/>
        <v>0</v>
      </c>
      <c r="V132" s="79">
        <f t="shared" si="23"/>
        <v>0</v>
      </c>
      <c r="W132" s="79">
        <f t="shared" si="23"/>
        <v>0</v>
      </c>
      <c r="X132" s="79">
        <f t="shared" si="23"/>
        <v>-0.99643585452175809</v>
      </c>
      <c r="Y132" s="79">
        <f t="shared" si="23"/>
        <v>0</v>
      </c>
      <c r="AQ132" s="3"/>
    </row>
    <row r="133" spans="3:43" x14ac:dyDescent="0.35">
      <c r="E133" s="27"/>
      <c r="F133" t="s">
        <v>196</v>
      </c>
      <c r="G133" t="s">
        <v>172</v>
      </c>
      <c r="J133" s="79">
        <f t="shared" ref="J133:Y133" si="24">J$58 * J39 * J121 / hours_in_year / $H50</f>
        <v>0</v>
      </c>
      <c r="K133" s="79">
        <f t="shared" si="24"/>
        <v>0</v>
      </c>
      <c r="L133" s="79">
        <f t="shared" si="24"/>
        <v>0</v>
      </c>
      <c r="M133" s="79">
        <f t="shared" si="24"/>
        <v>0</v>
      </c>
      <c r="N133" s="79">
        <f t="shared" si="24"/>
        <v>0</v>
      </c>
      <c r="O133" s="79">
        <f t="shared" si="24"/>
        <v>0</v>
      </c>
      <c r="P133" s="79">
        <f t="shared" si="24"/>
        <v>0</v>
      </c>
      <c r="Q133" s="79">
        <f t="shared" si="24"/>
        <v>0</v>
      </c>
      <c r="R133" s="79">
        <f t="shared" si="24"/>
        <v>0</v>
      </c>
      <c r="S133" s="79">
        <f t="shared" si="24"/>
        <v>0</v>
      </c>
      <c r="T133" s="79">
        <f t="shared" si="24"/>
        <v>0</v>
      </c>
      <c r="U133" s="79">
        <f t="shared" si="24"/>
        <v>0</v>
      </c>
      <c r="V133" s="79">
        <f t="shared" si="24"/>
        <v>0</v>
      </c>
      <c r="W133" s="79">
        <f t="shared" si="24"/>
        <v>0</v>
      </c>
      <c r="X133" s="79">
        <f t="shared" si="24"/>
        <v>0</v>
      </c>
      <c r="Y133" s="79">
        <f t="shared" si="24"/>
        <v>0</v>
      </c>
      <c r="AQ133" s="3"/>
    </row>
    <row r="134" spans="3:43" x14ac:dyDescent="0.35">
      <c r="E134" s="27"/>
      <c r="F134" t="s">
        <v>197</v>
      </c>
      <c r="G134" t="s">
        <v>172</v>
      </c>
      <c r="J134" s="79">
        <f t="shared" ref="J134:Y134" si="25">J$58 * J40 * J122 / hours_in_year / $H51</f>
        <v>29.935112922163292</v>
      </c>
      <c r="K134" s="79">
        <f t="shared" si="25"/>
        <v>0.94690754127175281</v>
      </c>
      <c r="L134" s="79">
        <f t="shared" si="25"/>
        <v>8.9458030029459898</v>
      </c>
      <c r="M134" s="79">
        <f t="shared" si="25"/>
        <v>0.24778448898742864</v>
      </c>
      <c r="N134" s="79">
        <f t="shared" si="25"/>
        <v>13.698387335776891</v>
      </c>
      <c r="O134" s="79">
        <f t="shared" si="25"/>
        <v>0.77738999326156988</v>
      </c>
      <c r="P134" s="79">
        <f t="shared" si="25"/>
        <v>10.400283268726078</v>
      </c>
      <c r="Q134" s="79">
        <f t="shared" si="25"/>
        <v>0.86255666153686694</v>
      </c>
      <c r="R134" s="79">
        <f t="shared" si="25"/>
        <v>-5.8458517337167505E-3</v>
      </c>
      <c r="S134" s="79">
        <f t="shared" si="25"/>
        <v>-1.6591542274816421E-4</v>
      </c>
      <c r="T134" s="79">
        <f t="shared" si="25"/>
        <v>-8.0688215399125032E-2</v>
      </c>
      <c r="U134" s="79">
        <f t="shared" si="25"/>
        <v>0</v>
      </c>
      <c r="V134" s="79">
        <f t="shared" si="25"/>
        <v>0</v>
      </c>
      <c r="W134" s="79">
        <f t="shared" si="25"/>
        <v>0</v>
      </c>
      <c r="X134" s="79">
        <f t="shared" si="25"/>
        <v>0</v>
      </c>
      <c r="Y134" s="79">
        <f t="shared" si="25"/>
        <v>0</v>
      </c>
      <c r="AQ134" s="3"/>
    </row>
    <row r="135" spans="3:43" x14ac:dyDescent="0.35">
      <c r="E135" s="27"/>
      <c r="F135" t="s">
        <v>198</v>
      </c>
      <c r="G135" t="s">
        <v>172</v>
      </c>
      <c r="J135" s="79">
        <f t="shared" ref="J135:Y135" si="26">J$58 * J41 * J123 / hours_in_year / $H52</f>
        <v>29.475897383568263</v>
      </c>
      <c r="K135" s="79">
        <f t="shared" si="26"/>
        <v>0.93238163459836054</v>
      </c>
      <c r="L135" s="79">
        <f t="shared" si="26"/>
        <v>8.8085711256237129</v>
      </c>
      <c r="M135" s="79">
        <f t="shared" si="26"/>
        <v>0.24398338465013347</v>
      </c>
      <c r="N135" s="79">
        <f t="shared" si="26"/>
        <v>13.488249083262577</v>
      </c>
      <c r="O135" s="79">
        <f t="shared" si="26"/>
        <v>0.76546454753560145</v>
      </c>
      <c r="P135" s="79">
        <f t="shared" si="26"/>
        <v>0</v>
      </c>
      <c r="Q135" s="79">
        <f t="shared" si="26"/>
        <v>0.84932472809047199</v>
      </c>
      <c r="R135" s="79">
        <f t="shared" si="26"/>
        <v>-5.7561742382810184E-3</v>
      </c>
      <c r="S135" s="79">
        <f t="shared" si="26"/>
        <v>0</v>
      </c>
      <c r="T135" s="79">
        <f t="shared" si="26"/>
        <v>-7.9450428777470189E-2</v>
      </c>
      <c r="U135" s="79">
        <f t="shared" si="26"/>
        <v>0</v>
      </c>
      <c r="V135" s="79">
        <f t="shared" si="26"/>
        <v>0</v>
      </c>
      <c r="W135" s="79">
        <f t="shared" si="26"/>
        <v>0</v>
      </c>
      <c r="X135" s="79">
        <f t="shared" si="26"/>
        <v>0</v>
      </c>
      <c r="Y135" s="79">
        <f t="shared" si="26"/>
        <v>0</v>
      </c>
      <c r="AQ135" s="3"/>
    </row>
    <row r="136" spans="3:43" x14ac:dyDescent="0.35">
      <c r="E136" s="27"/>
      <c r="F136" s="28" t="s">
        <v>199</v>
      </c>
      <c r="G136" s="28" t="s">
        <v>172</v>
      </c>
      <c r="H136" s="28"/>
      <c r="I136" s="28"/>
      <c r="J136" s="72">
        <f t="shared" ref="J136:Y136" si="27">J$58 * J42 * J124 / hours_in_year / $H53</f>
        <v>28.204918322074949</v>
      </c>
      <c r="K136" s="72">
        <f t="shared" si="27"/>
        <v>0.89217802283127523</v>
      </c>
      <c r="L136" s="72">
        <f t="shared" si="27"/>
        <v>8.4287520036931465</v>
      </c>
      <c r="M136" s="72">
        <f t="shared" si="27"/>
        <v>0.23346300017439373</v>
      </c>
      <c r="N136" s="72">
        <f t="shared" si="27"/>
        <v>12.906645682424646</v>
      </c>
      <c r="O136" s="72">
        <f t="shared" si="27"/>
        <v>0</v>
      </c>
      <c r="P136" s="72">
        <f t="shared" si="27"/>
        <v>0</v>
      </c>
      <c r="Q136" s="72">
        <f t="shared" si="27"/>
        <v>0.81270246917280931</v>
      </c>
      <c r="R136" s="72">
        <f t="shared" si="27"/>
        <v>0</v>
      </c>
      <c r="S136" s="72">
        <f t="shared" si="27"/>
        <v>0</v>
      </c>
      <c r="T136" s="72">
        <f t="shared" si="27"/>
        <v>0</v>
      </c>
      <c r="U136" s="72">
        <f t="shared" si="27"/>
        <v>0</v>
      </c>
      <c r="V136" s="72">
        <f t="shared" si="27"/>
        <v>0</v>
      </c>
      <c r="W136" s="72">
        <f t="shared" si="27"/>
        <v>0</v>
      </c>
      <c r="X136" s="72">
        <f t="shared" si="27"/>
        <v>0</v>
      </c>
      <c r="Y136" s="72">
        <f t="shared" si="27"/>
        <v>0</v>
      </c>
      <c r="AQ136" s="3"/>
    </row>
    <row r="137" spans="3:43" x14ac:dyDescent="0.35">
      <c r="D137" s="27"/>
      <c r="J137" s="79"/>
      <c r="K137" s="79"/>
      <c r="L137" s="79"/>
      <c r="M137" s="79"/>
      <c r="N137" s="79"/>
      <c r="O137" s="79"/>
      <c r="P137" s="79"/>
      <c r="Q137" s="79"/>
      <c r="R137" s="79"/>
      <c r="S137" s="79"/>
      <c r="T137" s="79"/>
      <c r="U137" s="79"/>
      <c r="V137" s="79"/>
      <c r="W137" s="79"/>
      <c r="X137" s="79"/>
      <c r="Y137" s="79"/>
      <c r="AQ137" s="3"/>
    </row>
    <row r="138" spans="3:43" x14ac:dyDescent="0.35">
      <c r="C138" s="26" t="str">
        <f ca="1">INDEX('Version control'!$H$38:$H$61,MATCH($A$1,'Version control'!$F$38:$F$61,0),1)&amp;"-C: System peak load, all unit rates"</f>
        <v>Section 106-C: System peak load, all unit rates</v>
      </c>
      <c r="D138" s="26"/>
      <c r="E138" s="26"/>
      <c r="F138" s="26"/>
      <c r="G138" s="26"/>
      <c r="H138" s="26"/>
      <c r="I138" s="26"/>
      <c r="J138" s="80"/>
      <c r="K138" s="80"/>
      <c r="L138" s="80"/>
      <c r="M138" s="80"/>
      <c r="N138" s="80"/>
      <c r="O138" s="80"/>
      <c r="P138" s="80"/>
      <c r="Q138" s="80"/>
      <c r="R138" s="80"/>
      <c r="S138" s="80"/>
      <c r="T138" s="80"/>
      <c r="U138" s="80"/>
      <c r="V138" s="80"/>
      <c r="W138" s="80"/>
      <c r="X138" s="80"/>
      <c r="Y138" s="80"/>
      <c r="Z138" s="26"/>
      <c r="AA138" s="26"/>
      <c r="AQ138" s="3"/>
    </row>
    <row r="139" spans="3:43" x14ac:dyDescent="0.35">
      <c r="H139" s="53"/>
      <c r="J139" s="79"/>
      <c r="K139" s="79"/>
      <c r="L139" s="79"/>
      <c r="M139" s="79"/>
      <c r="N139" s="79"/>
      <c r="O139" s="79"/>
      <c r="P139" s="79"/>
      <c r="Q139" s="79"/>
      <c r="R139" s="79"/>
      <c r="S139" s="79"/>
      <c r="T139" s="79"/>
      <c r="U139" s="79"/>
      <c r="V139" s="79"/>
      <c r="W139" s="79"/>
      <c r="X139" s="79"/>
      <c r="Y139" s="79"/>
    </row>
    <row r="140" spans="3:43" x14ac:dyDescent="0.35">
      <c r="E140" s="27" t="s">
        <v>515</v>
      </c>
      <c r="J140" s="79"/>
      <c r="K140" s="79"/>
      <c r="L140" s="79"/>
      <c r="M140" s="79"/>
      <c r="N140" s="79"/>
      <c r="O140" s="79"/>
      <c r="P140" s="79"/>
      <c r="Q140" s="79"/>
      <c r="R140" s="79"/>
      <c r="S140" s="79"/>
      <c r="T140" s="79"/>
      <c r="U140" s="79"/>
      <c r="V140" s="79"/>
      <c r="W140" s="79"/>
      <c r="X140" s="79"/>
      <c r="Y140" s="79"/>
      <c r="AQ140" s="3"/>
    </row>
    <row r="141" spans="3:43" x14ac:dyDescent="0.35">
      <c r="E141" s="24" t="s">
        <v>516</v>
      </c>
      <c r="J141" s="79"/>
      <c r="K141" s="79"/>
      <c r="L141" s="79"/>
      <c r="M141" s="79"/>
      <c r="N141" s="79"/>
      <c r="O141" s="79"/>
      <c r="P141" s="79"/>
      <c r="Q141" s="79"/>
      <c r="R141" s="79"/>
      <c r="S141" s="79"/>
      <c r="T141" s="79"/>
      <c r="U141" s="79"/>
      <c r="V141" s="79"/>
      <c r="W141" s="79"/>
      <c r="X141" s="79"/>
      <c r="Y141" s="79"/>
      <c r="AQ141" s="3"/>
    </row>
    <row r="142" spans="3:43" x14ac:dyDescent="0.35">
      <c r="C142" s="27"/>
      <c r="F142" s="19" t="s">
        <v>191</v>
      </c>
      <c r="G142" s="19" t="s">
        <v>172</v>
      </c>
      <c r="H142" s="19"/>
      <c r="I142" s="19"/>
      <c r="J142" s="148">
        <f t="shared" ref="J142:Y142" si="28">J82 + J105 + J128</f>
        <v>2334.2902251723267</v>
      </c>
      <c r="K142" s="148">
        <f t="shared" si="28"/>
        <v>2.3106463171984664</v>
      </c>
      <c r="L142" s="148">
        <f t="shared" si="28"/>
        <v>584.28862047712846</v>
      </c>
      <c r="M142" s="148">
        <f t="shared" si="28"/>
        <v>1.348136887315043</v>
      </c>
      <c r="N142" s="148">
        <f t="shared" si="28"/>
        <v>840.58709310540019</v>
      </c>
      <c r="O142" s="148">
        <f t="shared" si="28"/>
        <v>40.373071176570065</v>
      </c>
      <c r="P142" s="148">
        <f t="shared" si="28"/>
        <v>519.83936237706757</v>
      </c>
      <c r="Q142" s="148">
        <f t="shared" si="28"/>
        <v>36.7234586012694</v>
      </c>
      <c r="R142" s="148">
        <f t="shared" si="28"/>
        <v>-1.4094533907318971</v>
      </c>
      <c r="S142" s="148">
        <f t="shared" si="28"/>
        <v>-4.5660184340845261E-2</v>
      </c>
      <c r="T142" s="148">
        <f t="shared" si="28"/>
        <v>-6.7930162327394061</v>
      </c>
      <c r="U142" s="148">
        <f t="shared" si="28"/>
        <v>0</v>
      </c>
      <c r="V142" s="148">
        <f t="shared" si="28"/>
        <v>0</v>
      </c>
      <c r="W142" s="148">
        <f t="shared" si="28"/>
        <v>0</v>
      </c>
      <c r="X142" s="148">
        <f t="shared" si="28"/>
        <v>-111.62854126944453</v>
      </c>
      <c r="Y142" s="148">
        <f t="shared" si="28"/>
        <v>0</v>
      </c>
      <c r="AQ142" s="3"/>
    </row>
    <row r="143" spans="3:43" x14ac:dyDescent="0.35">
      <c r="C143" s="27"/>
      <c r="F143" t="s">
        <v>192</v>
      </c>
      <c r="G143" t="s">
        <v>172</v>
      </c>
      <c r="J143" s="79">
        <f t="shared" ref="J143:Y143" si="29">J83 + J106 + J129</f>
        <v>2249.8270855291848</v>
      </c>
      <c r="K143" s="79">
        <f t="shared" si="29"/>
        <v>4.2488007463422504</v>
      </c>
      <c r="L143" s="79">
        <f t="shared" si="29"/>
        <v>589.52169501832759</v>
      </c>
      <c r="M143" s="79">
        <f t="shared" si="29"/>
        <v>1.6147811388694044</v>
      </c>
      <c r="N143" s="79">
        <f t="shared" si="29"/>
        <v>837.82365571825471</v>
      </c>
      <c r="O143" s="79">
        <f t="shared" si="29"/>
        <v>40.211481860673622</v>
      </c>
      <c r="P143" s="79">
        <f t="shared" si="29"/>
        <v>517.33301260138182</v>
      </c>
      <c r="Q143" s="79">
        <f t="shared" si="29"/>
        <v>36.145865449134995</v>
      </c>
      <c r="R143" s="79">
        <f t="shared" si="29"/>
        <v>-1.4800225940556122</v>
      </c>
      <c r="S143" s="79">
        <f t="shared" si="29"/>
        <v>-4.4405151960304125E-2</v>
      </c>
      <c r="T143" s="79">
        <f t="shared" si="29"/>
        <v>-7.06671150963302</v>
      </c>
      <c r="U143" s="79">
        <f t="shared" si="29"/>
        <v>0</v>
      </c>
      <c r="V143" s="79">
        <f t="shared" si="29"/>
        <v>0</v>
      </c>
      <c r="W143" s="79">
        <f t="shared" si="29"/>
        <v>0</v>
      </c>
      <c r="X143" s="79">
        <f t="shared" si="29"/>
        <v>-112.71025346067029</v>
      </c>
      <c r="Y143" s="79">
        <f t="shared" si="29"/>
        <v>0</v>
      </c>
      <c r="AQ143" s="3"/>
    </row>
    <row r="144" spans="3:43" x14ac:dyDescent="0.35">
      <c r="C144" s="27"/>
      <c r="F144" t="s">
        <v>193</v>
      </c>
      <c r="G144" t="s">
        <v>172</v>
      </c>
      <c r="J144" s="79">
        <f t="shared" ref="J144:Y144" si="30">J84 + J107 + J130</f>
        <v>2240.899200269148</v>
      </c>
      <c r="K144" s="79">
        <f t="shared" si="30"/>
        <v>4.2319404259202571</v>
      </c>
      <c r="L144" s="79">
        <f t="shared" si="30"/>
        <v>587.18232321269932</v>
      </c>
      <c r="M144" s="79">
        <f t="shared" si="30"/>
        <v>1.6083732772072243</v>
      </c>
      <c r="N144" s="79">
        <f t="shared" si="30"/>
        <v>834.49895867175394</v>
      </c>
      <c r="O144" s="79">
        <f t="shared" si="30"/>
        <v>40.051912488210625</v>
      </c>
      <c r="P144" s="79">
        <f t="shared" si="30"/>
        <v>515.28010382121761</v>
      </c>
      <c r="Q144" s="79">
        <f t="shared" si="30"/>
        <v>36.002429475130484</v>
      </c>
      <c r="R144" s="79">
        <f t="shared" si="30"/>
        <v>-1.4741494885236455</v>
      </c>
      <c r="S144" s="79">
        <f t="shared" si="30"/>
        <v>-4.4228941039826733E-2</v>
      </c>
      <c r="T144" s="79">
        <f t="shared" si="30"/>
        <v>-7.038669003642414</v>
      </c>
      <c r="U144" s="79">
        <f t="shared" si="30"/>
        <v>0</v>
      </c>
      <c r="V144" s="79">
        <f t="shared" si="30"/>
        <v>0</v>
      </c>
      <c r="W144" s="79">
        <f t="shared" si="30"/>
        <v>0</v>
      </c>
      <c r="X144" s="79">
        <f t="shared" si="30"/>
        <v>-112.26299055011208</v>
      </c>
      <c r="Y144" s="79">
        <f t="shared" si="30"/>
        <v>0</v>
      </c>
      <c r="AQ144" s="3"/>
    </row>
    <row r="145" spans="3:43" x14ac:dyDescent="0.35">
      <c r="C145" s="27"/>
      <c r="F145" t="s">
        <v>194</v>
      </c>
      <c r="G145" t="s">
        <v>172</v>
      </c>
      <c r="J145" s="79">
        <f t="shared" ref="J145:Y145" si="31">J85 + J108 + J131</f>
        <v>2163.9308092819833</v>
      </c>
      <c r="K145" s="79">
        <f t="shared" si="31"/>
        <v>5.8819426781073529</v>
      </c>
      <c r="L145" s="79">
        <f t="shared" si="31"/>
        <v>592.09722867654602</v>
      </c>
      <c r="M145" s="79">
        <f t="shared" si="31"/>
        <v>1.8194205738816389</v>
      </c>
      <c r="N145" s="79">
        <f t="shared" si="31"/>
        <v>831.9134386239466</v>
      </c>
      <c r="O145" s="79">
        <f t="shared" si="31"/>
        <v>39.882136776382318</v>
      </c>
      <c r="P145" s="79">
        <f t="shared" si="31"/>
        <v>512.63830749850513</v>
      </c>
      <c r="Q145" s="79">
        <f t="shared" si="31"/>
        <v>32.762314238464867</v>
      </c>
      <c r="R145" s="79">
        <f t="shared" si="31"/>
        <v>-1.5421218882192749</v>
      </c>
      <c r="S145" s="79">
        <f t="shared" si="31"/>
        <v>-4.3157256414098337E-2</v>
      </c>
      <c r="T145" s="79">
        <f t="shared" si="31"/>
        <v>-7.2964960409166437</v>
      </c>
      <c r="U145" s="79">
        <f t="shared" si="31"/>
        <v>0</v>
      </c>
      <c r="V145" s="79">
        <f t="shared" si="31"/>
        <v>0</v>
      </c>
      <c r="W145" s="79">
        <f t="shared" si="31"/>
        <v>0</v>
      </c>
      <c r="X145" s="79">
        <f t="shared" si="31"/>
        <v>-113.2774656547718</v>
      </c>
      <c r="Y145" s="79">
        <f t="shared" si="31"/>
        <v>0</v>
      </c>
      <c r="AQ145" s="3"/>
    </row>
    <row r="146" spans="3:43" x14ac:dyDescent="0.35">
      <c r="C146" s="27"/>
      <c r="F146" t="s">
        <v>195</v>
      </c>
      <c r="G146" t="s">
        <v>172</v>
      </c>
      <c r="J146" s="79">
        <f t="shared" ref="J146:Y146" si="32">J86 + J109 + J132</f>
        <v>2153.3024654249984</v>
      </c>
      <c r="K146" s="79">
        <f t="shared" si="32"/>
        <v>5.8530529792954304</v>
      </c>
      <c r="L146" s="79">
        <f t="shared" si="32"/>
        <v>589.18908904650391</v>
      </c>
      <c r="M146" s="79">
        <f t="shared" si="32"/>
        <v>1.8104843235187622</v>
      </c>
      <c r="N146" s="79">
        <f t="shared" si="32"/>
        <v>827.82741977019441</v>
      </c>
      <c r="O146" s="79">
        <f t="shared" si="32"/>
        <v>39.686252018148608</v>
      </c>
      <c r="P146" s="79">
        <f t="shared" si="32"/>
        <v>510.12043761884638</v>
      </c>
      <c r="Q146" s="79">
        <f t="shared" si="32"/>
        <v>32.60139913906179</v>
      </c>
      <c r="R146" s="79">
        <f t="shared" si="32"/>
        <v>-1.5345476156838165</v>
      </c>
      <c r="S146" s="79">
        <f t="shared" si="32"/>
        <v>-4.2945285606563466E-2</v>
      </c>
      <c r="T146" s="79">
        <f t="shared" si="32"/>
        <v>-7.2606586340359129</v>
      </c>
      <c r="U146" s="79">
        <f t="shared" si="32"/>
        <v>0</v>
      </c>
      <c r="V146" s="79">
        <f t="shared" si="32"/>
        <v>0</v>
      </c>
      <c r="W146" s="79">
        <f t="shared" si="32"/>
        <v>0</v>
      </c>
      <c r="X146" s="79">
        <f t="shared" si="32"/>
        <v>-112.72109303367765</v>
      </c>
      <c r="Y146" s="79">
        <f t="shared" si="32"/>
        <v>0</v>
      </c>
      <c r="AQ146" s="3"/>
    </row>
    <row r="147" spans="3:43" x14ac:dyDescent="0.35">
      <c r="C147" s="27"/>
      <c r="F147" t="s">
        <v>196</v>
      </c>
      <c r="G147" t="s">
        <v>172</v>
      </c>
      <c r="H147" s="53"/>
      <c r="J147" s="79">
        <f t="shared" ref="J147:Y147" si="33">J87 + J110 + J133</f>
        <v>0</v>
      </c>
      <c r="K147" s="79">
        <f t="shared" si="33"/>
        <v>0</v>
      </c>
      <c r="L147" s="79">
        <f t="shared" si="33"/>
        <v>0</v>
      </c>
      <c r="M147" s="79">
        <f t="shared" si="33"/>
        <v>0</v>
      </c>
      <c r="N147" s="79">
        <f t="shared" si="33"/>
        <v>0</v>
      </c>
      <c r="O147" s="79">
        <f t="shared" si="33"/>
        <v>0</v>
      </c>
      <c r="P147" s="79">
        <f t="shared" si="33"/>
        <v>0</v>
      </c>
      <c r="Q147" s="79">
        <f t="shared" si="33"/>
        <v>0</v>
      </c>
      <c r="R147" s="79">
        <f t="shared" si="33"/>
        <v>0</v>
      </c>
      <c r="S147" s="79">
        <f t="shared" si="33"/>
        <v>0</v>
      </c>
      <c r="T147" s="79">
        <f t="shared" si="33"/>
        <v>0</v>
      </c>
      <c r="U147" s="79">
        <f t="shared" si="33"/>
        <v>0</v>
      </c>
      <c r="V147" s="79">
        <f t="shared" si="33"/>
        <v>0</v>
      </c>
      <c r="W147" s="79">
        <f t="shared" si="33"/>
        <v>0</v>
      </c>
      <c r="X147" s="79">
        <f t="shared" si="33"/>
        <v>0</v>
      </c>
      <c r="Y147" s="79">
        <f t="shared" si="33"/>
        <v>0</v>
      </c>
      <c r="AQ147" s="3"/>
    </row>
    <row r="148" spans="3:43" x14ac:dyDescent="0.35">
      <c r="C148" s="27"/>
      <c r="F148" t="s">
        <v>197</v>
      </c>
      <c r="G148" t="s">
        <v>172</v>
      </c>
      <c r="J148" s="79">
        <f t="shared" ref="J148:Y148" si="34">J88 + J111 + J134</f>
        <v>2012.9227913909824</v>
      </c>
      <c r="K148" s="79">
        <f t="shared" si="34"/>
        <v>8.8958247896534441</v>
      </c>
      <c r="L148" s="79">
        <f t="shared" si="34"/>
        <v>597.99287299266769</v>
      </c>
      <c r="M148" s="79">
        <f t="shared" si="34"/>
        <v>2.2055695611441077</v>
      </c>
      <c r="N148" s="79">
        <f>N88 + N111 + N134</f>
        <v>823.0228087719322</v>
      </c>
      <c r="O148" s="79">
        <f t="shared" si="34"/>
        <v>39.379368663318694</v>
      </c>
      <c r="P148" s="79">
        <f t="shared" si="34"/>
        <v>505.36382173058439</v>
      </c>
      <c r="Q148" s="79">
        <f t="shared" si="34"/>
        <v>26.380930701054947</v>
      </c>
      <c r="R148" s="79">
        <f t="shared" si="34"/>
        <v>-1.6567080091781623</v>
      </c>
      <c r="S148" s="79">
        <f t="shared" si="34"/>
        <v>-4.0963238832985367E-2</v>
      </c>
      <c r="T148" s="79">
        <f t="shared" si="34"/>
        <v>-7.7257551296061768</v>
      </c>
      <c r="U148" s="79">
        <f t="shared" si="34"/>
        <v>0</v>
      </c>
      <c r="V148" s="79">
        <f t="shared" si="34"/>
        <v>0</v>
      </c>
      <c r="W148" s="79">
        <f t="shared" si="34"/>
        <v>0</v>
      </c>
      <c r="X148" s="79">
        <f t="shared" si="34"/>
        <v>0</v>
      </c>
      <c r="Y148" s="79">
        <f t="shared" si="34"/>
        <v>0</v>
      </c>
      <c r="AQ148" s="3"/>
    </row>
    <row r="149" spans="3:43" x14ac:dyDescent="0.35">
      <c r="C149" s="27"/>
      <c r="F149" t="s">
        <v>198</v>
      </c>
      <c r="G149" t="s">
        <v>172</v>
      </c>
      <c r="J149" s="79">
        <f t="shared" ref="J149:Y149" si="35">J89 + J112 + J135</f>
        <v>1982.0438223955307</v>
      </c>
      <c r="K149" s="79">
        <f t="shared" si="35"/>
        <v>8.7593595963318176</v>
      </c>
      <c r="L149" s="79">
        <f t="shared" si="35"/>
        <v>588.81944445203237</v>
      </c>
      <c r="M149" s="79">
        <f t="shared" si="35"/>
        <v>2.1717353205129419</v>
      </c>
      <c r="N149" s="79">
        <f t="shared" si="35"/>
        <v>810.3973390304642</v>
      </c>
      <c r="O149" s="79">
        <f t="shared" si="35"/>
        <v>38.775274800794151</v>
      </c>
      <c r="P149" s="79">
        <f t="shared" si="35"/>
        <v>0</v>
      </c>
      <c r="Q149" s="79">
        <f t="shared" si="35"/>
        <v>25.976237612639913</v>
      </c>
      <c r="R149" s="79">
        <f t="shared" si="35"/>
        <v>-1.6312935047228883</v>
      </c>
      <c r="S149" s="79">
        <f t="shared" si="35"/>
        <v>0</v>
      </c>
      <c r="T149" s="79">
        <f t="shared" si="35"/>
        <v>-7.6072392311654298</v>
      </c>
      <c r="U149" s="79">
        <f t="shared" si="35"/>
        <v>0</v>
      </c>
      <c r="V149" s="79">
        <f t="shared" si="35"/>
        <v>0</v>
      </c>
      <c r="W149" s="79">
        <f t="shared" si="35"/>
        <v>0</v>
      </c>
      <c r="X149" s="79">
        <f t="shared" si="35"/>
        <v>0</v>
      </c>
      <c r="Y149" s="79">
        <f t="shared" si="35"/>
        <v>0</v>
      </c>
      <c r="AQ149" s="3"/>
    </row>
    <row r="150" spans="3:43" x14ac:dyDescent="0.35">
      <c r="C150" s="27"/>
      <c r="F150" s="28" t="s">
        <v>199</v>
      </c>
      <c r="G150" s="28" t="s">
        <v>172</v>
      </c>
      <c r="H150" s="28"/>
      <c r="I150" s="28"/>
      <c r="J150" s="72">
        <f t="shared" ref="J150:Y150" si="36">J90 + J113 + J136</f>
        <v>1896.5795474848976</v>
      </c>
      <c r="K150" s="72">
        <f t="shared" si="36"/>
        <v>8.3816624394257673</v>
      </c>
      <c r="L150" s="72">
        <f t="shared" si="36"/>
        <v>563.42998216832063</v>
      </c>
      <c r="M150" s="72">
        <f t="shared" si="36"/>
        <v>2.0780916874266038</v>
      </c>
      <c r="N150" s="72">
        <f t="shared" si="36"/>
        <v>775.45360055850836</v>
      </c>
      <c r="O150" s="72">
        <f t="shared" si="36"/>
        <v>0</v>
      </c>
      <c r="P150" s="72">
        <f t="shared" si="36"/>
        <v>0</v>
      </c>
      <c r="Q150" s="72">
        <f t="shared" si="36"/>
        <v>24.856161311911396</v>
      </c>
      <c r="R150" s="72">
        <f t="shared" si="36"/>
        <v>0</v>
      </c>
      <c r="S150" s="72">
        <f t="shared" si="36"/>
        <v>0</v>
      </c>
      <c r="T150" s="72">
        <f t="shared" si="36"/>
        <v>0</v>
      </c>
      <c r="U150" s="72">
        <f t="shared" si="36"/>
        <v>0</v>
      </c>
      <c r="V150" s="72">
        <f t="shared" si="36"/>
        <v>0</v>
      </c>
      <c r="W150" s="72">
        <f t="shared" si="36"/>
        <v>0</v>
      </c>
      <c r="X150" s="72">
        <f t="shared" si="36"/>
        <v>0</v>
      </c>
      <c r="Y150" s="72">
        <f t="shared" si="36"/>
        <v>0</v>
      </c>
      <c r="AQ150" s="3"/>
    </row>
    <row r="151" spans="3:43" x14ac:dyDescent="0.35">
      <c r="C151" s="27"/>
      <c r="J151" s="53"/>
      <c r="K151" s="53"/>
      <c r="L151" s="53"/>
      <c r="M151" s="53"/>
      <c r="N151" s="53"/>
      <c r="O151" s="53"/>
      <c r="P151" s="53"/>
      <c r="Q151" s="53"/>
      <c r="R151" s="53"/>
      <c r="S151" s="53"/>
      <c r="T151" s="53"/>
      <c r="U151" s="53"/>
      <c r="V151" s="53"/>
      <c r="W151" s="53"/>
      <c r="X151" s="53"/>
      <c r="Y151" s="53"/>
      <c r="AQ151" s="3"/>
    </row>
    <row r="152" spans="3:43" x14ac:dyDescent="0.35">
      <c r="E152" s="27" t="s">
        <v>517</v>
      </c>
      <c r="J152" s="53"/>
      <c r="K152" s="53"/>
      <c r="L152" s="53"/>
      <c r="M152" s="53"/>
      <c r="N152" s="53"/>
      <c r="O152" s="53"/>
      <c r="P152" s="53"/>
      <c r="Q152" s="53"/>
      <c r="R152" s="53"/>
      <c r="S152" s="53"/>
      <c r="T152" s="53"/>
      <c r="U152" s="53"/>
      <c r="V152" s="53"/>
      <c r="W152" s="53"/>
      <c r="X152" s="53"/>
      <c r="Y152" s="53"/>
      <c r="AQ152" s="3"/>
    </row>
    <row r="153" spans="3:43" x14ac:dyDescent="0.35">
      <c r="E153" s="24" t="s">
        <v>518</v>
      </c>
      <c r="J153" s="53"/>
      <c r="K153" s="53"/>
      <c r="L153" s="53"/>
      <c r="M153" s="53"/>
      <c r="N153" s="53"/>
      <c r="O153" s="53"/>
      <c r="P153" s="53"/>
      <c r="Q153" s="53"/>
      <c r="R153" s="53"/>
      <c r="S153" s="53"/>
      <c r="T153" s="53"/>
      <c r="U153" s="53"/>
      <c r="V153" s="53"/>
      <c r="W153" s="53"/>
      <c r="X153" s="53"/>
      <c r="Y153" s="53"/>
      <c r="AQ153" s="3"/>
    </row>
    <row r="154" spans="3:43" x14ac:dyDescent="0.35">
      <c r="C154" s="27"/>
      <c r="F154" s="19" t="s">
        <v>191</v>
      </c>
      <c r="G154" s="19" t="s">
        <v>519</v>
      </c>
      <c r="H154" s="91">
        <f t="shared" ref="H154:H162" si="37">SUM(J142:Y142) * thousand</f>
        <v>4239883.9430370191</v>
      </c>
      <c r="J154" s="53"/>
      <c r="K154" s="53"/>
      <c r="L154" s="53"/>
      <c r="M154" s="53"/>
      <c r="N154" s="53"/>
      <c r="O154" s="53"/>
      <c r="P154" s="53"/>
      <c r="Q154" s="53"/>
      <c r="R154" s="53"/>
      <c r="S154" s="53"/>
      <c r="T154" s="53"/>
      <c r="U154" s="53"/>
      <c r="V154" s="53"/>
      <c r="W154" s="53"/>
      <c r="X154" s="53"/>
      <c r="Y154" s="53"/>
      <c r="AQ154" s="3"/>
    </row>
    <row r="155" spans="3:43" x14ac:dyDescent="0.35">
      <c r="C155" s="27"/>
      <c r="F155" t="s">
        <v>192</v>
      </c>
      <c r="G155" t="s">
        <v>519</v>
      </c>
      <c r="H155" s="111">
        <f t="shared" si="37"/>
        <v>4155424.9853458507</v>
      </c>
      <c r="J155" s="53"/>
      <c r="K155" s="53"/>
      <c r="L155" s="53"/>
      <c r="M155" s="53"/>
      <c r="N155" s="53"/>
      <c r="O155" s="53"/>
      <c r="P155" s="53"/>
      <c r="Q155" s="53"/>
      <c r="R155" s="53"/>
      <c r="S155" s="53"/>
      <c r="T155" s="53"/>
      <c r="U155" s="53"/>
      <c r="V155" s="53"/>
      <c r="W155" s="53"/>
      <c r="X155" s="53"/>
      <c r="Y155" s="53"/>
      <c r="AQ155" s="3"/>
    </row>
    <row r="156" spans="3:43" x14ac:dyDescent="0.35">
      <c r="C156" s="27"/>
      <c r="F156" t="s">
        <v>193</v>
      </c>
      <c r="G156" t="s">
        <v>519</v>
      </c>
      <c r="H156" s="111">
        <f t="shared" si="37"/>
        <v>4138935.2036579694</v>
      </c>
      <c r="J156" s="53"/>
      <c r="K156" s="53"/>
      <c r="L156" s="53"/>
      <c r="M156" s="53"/>
      <c r="N156" s="53"/>
      <c r="O156" s="53"/>
      <c r="P156" s="53"/>
      <c r="Q156" s="53"/>
      <c r="R156" s="53"/>
      <c r="S156" s="53"/>
      <c r="T156" s="53"/>
      <c r="U156" s="53"/>
      <c r="V156" s="53"/>
      <c r="W156" s="53"/>
      <c r="X156" s="53"/>
      <c r="Y156" s="53"/>
      <c r="AQ156" s="3"/>
    </row>
    <row r="157" spans="3:43" x14ac:dyDescent="0.35">
      <c r="C157" s="27"/>
      <c r="F157" t="s">
        <v>194</v>
      </c>
      <c r="G157" t="s">
        <v>519</v>
      </c>
      <c r="H157" s="111">
        <f t="shared" si="37"/>
        <v>4058766.3575074957</v>
      </c>
      <c r="J157" s="53"/>
      <c r="K157" s="53"/>
      <c r="L157" s="53"/>
      <c r="M157" s="53"/>
      <c r="N157" s="53"/>
      <c r="O157" s="53"/>
      <c r="P157" s="53"/>
      <c r="Q157" s="53"/>
      <c r="R157" s="53"/>
      <c r="S157" s="53"/>
      <c r="T157" s="53"/>
      <c r="U157" s="53"/>
      <c r="V157" s="53"/>
      <c r="W157" s="53"/>
      <c r="X157" s="53"/>
      <c r="Y157" s="53"/>
      <c r="AQ157" s="3"/>
    </row>
    <row r="158" spans="3:43" x14ac:dyDescent="0.35">
      <c r="C158" s="27"/>
      <c r="F158" t="s">
        <v>195</v>
      </c>
      <c r="G158" t="s">
        <v>519</v>
      </c>
      <c r="H158" s="111">
        <f t="shared" si="37"/>
        <v>4038831.3557515629</v>
      </c>
      <c r="J158" s="53"/>
      <c r="K158" s="53"/>
      <c r="L158" s="53"/>
      <c r="M158" s="53"/>
      <c r="N158" s="53"/>
      <c r="O158" s="53"/>
      <c r="P158" s="53"/>
      <c r="Q158" s="53"/>
      <c r="R158" s="53"/>
      <c r="S158" s="53"/>
      <c r="T158" s="53"/>
      <c r="U158" s="53"/>
      <c r="V158" s="53"/>
      <c r="W158" s="53"/>
      <c r="X158" s="53"/>
      <c r="Y158" s="53"/>
      <c r="AQ158" s="3"/>
    </row>
    <row r="159" spans="3:43" x14ac:dyDescent="0.35">
      <c r="C159" s="27"/>
      <c r="F159" t="s">
        <v>196</v>
      </c>
      <c r="G159" t="s">
        <v>519</v>
      </c>
      <c r="H159" s="111">
        <f t="shared" si="37"/>
        <v>0</v>
      </c>
      <c r="J159" s="53"/>
      <c r="K159" s="53"/>
      <c r="L159" s="53"/>
      <c r="M159" s="53"/>
      <c r="N159" s="53"/>
      <c r="O159" s="53"/>
      <c r="P159" s="53"/>
      <c r="Q159" s="53"/>
      <c r="R159" s="53"/>
      <c r="S159" s="53"/>
      <c r="T159" s="53"/>
      <c r="U159" s="53"/>
      <c r="V159" s="53"/>
      <c r="W159" s="53"/>
      <c r="X159" s="53"/>
      <c r="Y159" s="53"/>
      <c r="AQ159" s="3"/>
    </row>
    <row r="160" spans="3:43" x14ac:dyDescent="0.35">
      <c r="C160" s="27"/>
      <c r="F160" t="s">
        <v>197</v>
      </c>
      <c r="G160" t="s">
        <v>519</v>
      </c>
      <c r="H160" s="111">
        <f t="shared" si="37"/>
        <v>4006740.5622237208</v>
      </c>
      <c r="J160" s="53"/>
      <c r="K160" s="53"/>
      <c r="L160" s="53"/>
      <c r="M160" s="53"/>
      <c r="N160" s="53"/>
      <c r="O160" s="53"/>
      <c r="P160" s="53"/>
      <c r="Q160" s="53"/>
      <c r="R160" s="53"/>
      <c r="S160" s="53"/>
      <c r="T160" s="53"/>
      <c r="U160" s="53"/>
      <c r="V160" s="53"/>
      <c r="W160" s="53"/>
      <c r="X160" s="53"/>
      <c r="Y160" s="53"/>
      <c r="AQ160" s="3"/>
    </row>
    <row r="161" spans="3:43" x14ac:dyDescent="0.35">
      <c r="C161" s="27"/>
      <c r="F161" t="s">
        <v>198</v>
      </c>
      <c r="G161" t="s">
        <v>519</v>
      </c>
      <c r="H161" s="111">
        <f t="shared" si="37"/>
        <v>3447704.6804724177</v>
      </c>
      <c r="J161" s="53"/>
      <c r="K161" s="53"/>
      <c r="L161" s="53"/>
      <c r="M161" s="53"/>
      <c r="N161" s="53"/>
      <c r="O161" s="53"/>
      <c r="P161" s="53"/>
      <c r="Q161" s="53"/>
      <c r="R161" s="53"/>
      <c r="S161" s="53"/>
      <c r="T161" s="53"/>
      <c r="U161" s="53"/>
      <c r="V161" s="53"/>
      <c r="W161" s="53"/>
      <c r="X161" s="53"/>
      <c r="Y161" s="53"/>
      <c r="AQ161" s="3"/>
    </row>
    <row r="162" spans="3:43" x14ac:dyDescent="0.35">
      <c r="C162" s="27"/>
      <c r="F162" s="28" t="s">
        <v>199</v>
      </c>
      <c r="G162" s="28" t="s">
        <v>519</v>
      </c>
      <c r="H162" s="121">
        <f t="shared" si="37"/>
        <v>3270779.0456504901</v>
      </c>
      <c r="J162" s="53"/>
      <c r="K162" s="53"/>
      <c r="L162" s="53"/>
      <c r="M162" s="53"/>
      <c r="N162" s="53"/>
      <c r="O162" s="53"/>
      <c r="P162" s="53"/>
      <c r="Q162" s="53"/>
      <c r="R162" s="53"/>
      <c r="S162" s="53"/>
      <c r="T162" s="53"/>
      <c r="U162" s="53"/>
      <c r="V162" s="53"/>
      <c r="W162" s="53"/>
      <c r="X162" s="53"/>
      <c r="Y162" s="53"/>
      <c r="AQ162" s="3"/>
    </row>
    <row r="163" spans="3:43" x14ac:dyDescent="0.35">
      <c r="C163" s="27"/>
      <c r="J163" s="53"/>
      <c r="K163" s="53"/>
      <c r="L163" s="53"/>
      <c r="M163" s="53"/>
      <c r="N163" s="53"/>
      <c r="O163" s="53"/>
      <c r="P163" s="53"/>
      <c r="Q163" s="53"/>
      <c r="R163" s="53"/>
      <c r="S163" s="53"/>
      <c r="T163" s="53"/>
      <c r="U163" s="53"/>
      <c r="V163" s="53"/>
      <c r="W163" s="53"/>
      <c r="X163" s="53"/>
      <c r="Y163" s="53"/>
      <c r="AQ163" s="3"/>
    </row>
    <row r="164" spans="3:43" x14ac:dyDescent="0.35">
      <c r="C164" s="26" t="str">
        <f ca="1">INDEX('Version control'!$H$38:$H$61,MATCH($A$1,'Version control'!$F$38:$F$61,0),1)&amp;"-D: Unit rate contributions to chargeable peak load"</f>
        <v>Section 106-D: Unit rate contributions to chargeable peak load</v>
      </c>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Q164" s="3"/>
    </row>
    <row r="165" spans="3:43" x14ac:dyDescent="0.35">
      <c r="H165" s="53"/>
      <c r="J165" s="53"/>
      <c r="K165" s="53"/>
      <c r="L165" s="53"/>
      <c r="M165" s="53"/>
      <c r="N165" s="53"/>
      <c r="O165" s="53"/>
      <c r="P165" s="53"/>
      <c r="Q165" s="53"/>
      <c r="R165" s="53"/>
      <c r="S165" s="53"/>
      <c r="T165" s="53"/>
      <c r="U165" s="53"/>
      <c r="V165" s="53"/>
      <c r="W165" s="53"/>
      <c r="X165" s="53"/>
      <c r="Y165" s="53"/>
    </row>
    <row r="166" spans="3:43" x14ac:dyDescent="0.35">
      <c r="E166" s="27" t="s">
        <v>520</v>
      </c>
      <c r="H166" s="53"/>
      <c r="J166" s="53"/>
      <c r="K166" s="53"/>
      <c r="L166" s="53"/>
      <c r="M166" s="53"/>
      <c r="N166" s="53"/>
      <c r="O166" s="53"/>
      <c r="P166" s="53"/>
      <c r="Q166" s="53"/>
      <c r="R166" s="53"/>
      <c r="S166" s="53"/>
      <c r="T166" s="53"/>
      <c r="U166" s="53"/>
      <c r="V166" s="53"/>
      <c r="W166" s="53"/>
      <c r="X166" s="53"/>
      <c r="Y166" s="53"/>
    </row>
    <row r="167" spans="3:43" x14ac:dyDescent="0.35">
      <c r="E167" s="24" t="s">
        <v>521</v>
      </c>
      <c r="F167" s="24"/>
      <c r="J167" s="53"/>
      <c r="K167" s="53"/>
      <c r="L167" s="53"/>
      <c r="M167" s="53"/>
      <c r="N167" s="53"/>
      <c r="O167" s="53"/>
      <c r="P167" s="53"/>
      <c r="Q167" s="53"/>
      <c r="R167" s="53"/>
      <c r="S167" s="53"/>
      <c r="T167" s="53"/>
      <c r="U167" s="53"/>
      <c r="V167" s="53"/>
      <c r="W167" s="53"/>
      <c r="X167" s="53"/>
      <c r="Y167" s="53"/>
      <c r="AQ167" s="3"/>
    </row>
    <row r="168" spans="3:43" x14ac:dyDescent="0.35">
      <c r="C168" s="27"/>
      <c r="F168" s="19" t="s">
        <v>191</v>
      </c>
      <c r="G168" s="19" t="s">
        <v>172</v>
      </c>
      <c r="H168" s="119"/>
      <c r="I168" s="19"/>
      <c r="J168" s="148">
        <f t="shared" ref="J168:Y168" si="38">J142 * (1 - J23)</f>
        <v>2334.2902251723267</v>
      </c>
      <c r="K168" s="148">
        <f t="shared" si="38"/>
        <v>2.3106463171984664</v>
      </c>
      <c r="L168" s="148">
        <f t="shared" si="38"/>
        <v>584.28862047712846</v>
      </c>
      <c r="M168" s="148">
        <f t="shared" si="38"/>
        <v>1.348136887315043</v>
      </c>
      <c r="N168" s="148">
        <f t="shared" si="38"/>
        <v>840.58709310540019</v>
      </c>
      <c r="O168" s="148">
        <f t="shared" si="38"/>
        <v>40.373071176570065</v>
      </c>
      <c r="P168" s="148">
        <f t="shared" si="38"/>
        <v>519.83936237706757</v>
      </c>
      <c r="Q168" s="148">
        <f t="shared" si="38"/>
        <v>36.7234586012694</v>
      </c>
      <c r="R168" s="148">
        <f t="shared" si="38"/>
        <v>-1.4094533907318971</v>
      </c>
      <c r="S168" s="148">
        <f t="shared" si="38"/>
        <v>-4.5660184340845261E-2</v>
      </c>
      <c r="T168" s="148">
        <f t="shared" si="38"/>
        <v>-6.7930162327394061</v>
      </c>
      <c r="U168" s="148">
        <f t="shared" si="38"/>
        <v>0</v>
      </c>
      <c r="V168" s="148">
        <f t="shared" si="38"/>
        <v>0</v>
      </c>
      <c r="W168" s="148">
        <f t="shared" si="38"/>
        <v>0</v>
      </c>
      <c r="X168" s="148">
        <f t="shared" si="38"/>
        <v>-111.62854126944453</v>
      </c>
      <c r="Y168" s="148">
        <f t="shared" si="38"/>
        <v>0</v>
      </c>
      <c r="AQ168" s="3"/>
    </row>
    <row r="169" spans="3:43" x14ac:dyDescent="0.35">
      <c r="C169" s="27"/>
      <c r="F169" t="s">
        <v>192</v>
      </c>
      <c r="G169" t="s">
        <v>172</v>
      </c>
      <c r="H169" s="53"/>
      <c r="J169" s="79">
        <f t="shared" ref="J169:Y169" si="39">J143 * (1 - J24)</f>
        <v>2249.8270855291848</v>
      </c>
      <c r="K169" s="79">
        <f t="shared" si="39"/>
        <v>4.2488007463422504</v>
      </c>
      <c r="L169" s="79">
        <f t="shared" si="39"/>
        <v>589.52169501832759</v>
      </c>
      <c r="M169" s="79">
        <f t="shared" si="39"/>
        <v>1.6147811388694044</v>
      </c>
      <c r="N169" s="79">
        <f t="shared" si="39"/>
        <v>837.82365571825471</v>
      </c>
      <c r="O169" s="79">
        <f t="shared" si="39"/>
        <v>40.211481860673622</v>
      </c>
      <c r="P169" s="79">
        <f t="shared" si="39"/>
        <v>517.33301260138182</v>
      </c>
      <c r="Q169" s="79">
        <f t="shared" si="39"/>
        <v>36.145865449134995</v>
      </c>
      <c r="R169" s="79">
        <f t="shared" si="39"/>
        <v>-1.4800225940556122</v>
      </c>
      <c r="S169" s="79">
        <f t="shared" si="39"/>
        <v>-4.4405151960304125E-2</v>
      </c>
      <c r="T169" s="79">
        <f t="shared" si="39"/>
        <v>-7.06671150963302</v>
      </c>
      <c r="U169" s="79">
        <f t="shared" si="39"/>
        <v>0</v>
      </c>
      <c r="V169" s="79">
        <f t="shared" si="39"/>
        <v>0</v>
      </c>
      <c r="W169" s="79">
        <f t="shared" si="39"/>
        <v>0</v>
      </c>
      <c r="X169" s="79">
        <f t="shared" si="39"/>
        <v>-112.71025346067029</v>
      </c>
      <c r="Y169" s="79">
        <f t="shared" si="39"/>
        <v>0</v>
      </c>
      <c r="AQ169" s="3"/>
    </row>
    <row r="170" spans="3:43" x14ac:dyDescent="0.35">
      <c r="C170" s="27"/>
      <c r="F170" t="s">
        <v>193</v>
      </c>
      <c r="G170" t="s">
        <v>172</v>
      </c>
      <c r="H170" s="53"/>
      <c r="J170" s="79">
        <f t="shared" ref="J170:Y170" si="40">J144 * (1 - J25)</f>
        <v>2240.899200269148</v>
      </c>
      <c r="K170" s="79">
        <f t="shared" si="40"/>
        <v>4.2319404259202571</v>
      </c>
      <c r="L170" s="79">
        <f t="shared" si="40"/>
        <v>587.18232321269932</v>
      </c>
      <c r="M170" s="79">
        <f t="shared" si="40"/>
        <v>1.6083732772072243</v>
      </c>
      <c r="N170" s="79">
        <f t="shared" si="40"/>
        <v>834.49895867175394</v>
      </c>
      <c r="O170" s="79">
        <f t="shared" si="40"/>
        <v>40.051912488210625</v>
      </c>
      <c r="P170" s="79">
        <f t="shared" si="40"/>
        <v>515.28010382121761</v>
      </c>
      <c r="Q170" s="79">
        <f t="shared" si="40"/>
        <v>36.002429475130484</v>
      </c>
      <c r="R170" s="79">
        <f t="shared" si="40"/>
        <v>-1.4741494885236455</v>
      </c>
      <c r="S170" s="79">
        <f t="shared" si="40"/>
        <v>-4.4228941039826733E-2</v>
      </c>
      <c r="T170" s="79">
        <f t="shared" si="40"/>
        <v>-7.038669003642414</v>
      </c>
      <c r="U170" s="79">
        <f t="shared" si="40"/>
        <v>0</v>
      </c>
      <c r="V170" s="79">
        <f t="shared" si="40"/>
        <v>0</v>
      </c>
      <c r="W170" s="79">
        <f t="shared" si="40"/>
        <v>0</v>
      </c>
      <c r="X170" s="79">
        <f t="shared" si="40"/>
        <v>-112.26299055011208</v>
      </c>
      <c r="Y170" s="79">
        <f t="shared" si="40"/>
        <v>0</v>
      </c>
      <c r="AQ170" s="3"/>
    </row>
    <row r="171" spans="3:43" x14ac:dyDescent="0.35">
      <c r="C171" s="27"/>
      <c r="F171" t="s">
        <v>194</v>
      </c>
      <c r="G171" t="s">
        <v>172</v>
      </c>
      <c r="H171" s="53"/>
      <c r="J171" s="79">
        <f t="shared" ref="J171:Y171" si="41">J145 * (1 - J26)</f>
        <v>2163.9308092819833</v>
      </c>
      <c r="K171" s="79">
        <f t="shared" si="41"/>
        <v>5.8819426781073529</v>
      </c>
      <c r="L171" s="79">
        <f t="shared" si="41"/>
        <v>592.09722867654602</v>
      </c>
      <c r="M171" s="79">
        <f t="shared" si="41"/>
        <v>1.8194205738816389</v>
      </c>
      <c r="N171" s="79">
        <f t="shared" si="41"/>
        <v>831.9134386239466</v>
      </c>
      <c r="O171" s="79">
        <f t="shared" si="41"/>
        <v>39.882136776382318</v>
      </c>
      <c r="P171" s="79">
        <f t="shared" si="41"/>
        <v>410.1106459988041</v>
      </c>
      <c r="Q171" s="79">
        <f t="shared" si="41"/>
        <v>32.762314238464867</v>
      </c>
      <c r="R171" s="79">
        <f t="shared" si="41"/>
        <v>-1.5421218882192749</v>
      </c>
      <c r="S171" s="79">
        <f t="shared" si="41"/>
        <v>-4.3157256414098337E-2</v>
      </c>
      <c r="T171" s="79">
        <f t="shared" si="41"/>
        <v>-7.2964960409166437</v>
      </c>
      <c r="U171" s="79">
        <f t="shared" si="41"/>
        <v>0</v>
      </c>
      <c r="V171" s="79">
        <f t="shared" si="41"/>
        <v>0</v>
      </c>
      <c r="W171" s="79">
        <f t="shared" si="41"/>
        <v>0</v>
      </c>
      <c r="X171" s="79">
        <f t="shared" si="41"/>
        <v>-113.2774656547718</v>
      </c>
      <c r="Y171" s="79">
        <f t="shared" si="41"/>
        <v>0</v>
      </c>
      <c r="AQ171" s="3"/>
    </row>
    <row r="172" spans="3:43" x14ac:dyDescent="0.35">
      <c r="C172" s="27"/>
      <c r="F172" t="s">
        <v>195</v>
      </c>
      <c r="G172" t="s">
        <v>172</v>
      </c>
      <c r="H172" s="53"/>
      <c r="J172" s="79">
        <f t="shared" ref="J172:Y172" si="42">J146 * (1 - J27)</f>
        <v>2153.3024654249984</v>
      </c>
      <c r="K172" s="79">
        <f t="shared" si="42"/>
        <v>5.8530529792954304</v>
      </c>
      <c r="L172" s="79">
        <f t="shared" si="42"/>
        <v>589.18908904650391</v>
      </c>
      <c r="M172" s="79">
        <f t="shared" si="42"/>
        <v>1.8104843235187622</v>
      </c>
      <c r="N172" s="79">
        <f t="shared" si="42"/>
        <v>827.82741977019441</v>
      </c>
      <c r="O172" s="79">
        <f t="shared" si="42"/>
        <v>39.686252018148608</v>
      </c>
      <c r="P172" s="79">
        <f t="shared" si="42"/>
        <v>0</v>
      </c>
      <c r="Q172" s="79">
        <f t="shared" si="42"/>
        <v>32.60139913906179</v>
      </c>
      <c r="R172" s="79">
        <f t="shared" si="42"/>
        <v>-1.5345476156838165</v>
      </c>
      <c r="S172" s="79">
        <f t="shared" si="42"/>
        <v>-4.2945285606563466E-2</v>
      </c>
      <c r="T172" s="79">
        <f t="shared" si="42"/>
        <v>-7.2606586340359129</v>
      </c>
      <c r="U172" s="79">
        <f t="shared" si="42"/>
        <v>0</v>
      </c>
      <c r="V172" s="79">
        <f t="shared" si="42"/>
        <v>0</v>
      </c>
      <c r="W172" s="79">
        <f t="shared" si="42"/>
        <v>0</v>
      </c>
      <c r="X172" s="79">
        <f t="shared" si="42"/>
        <v>-112.72109303367765</v>
      </c>
      <c r="Y172" s="79">
        <f t="shared" si="42"/>
        <v>0</v>
      </c>
      <c r="AQ172" s="3"/>
    </row>
    <row r="173" spans="3:43" x14ac:dyDescent="0.35">
      <c r="C173" s="27"/>
      <c r="F173" t="s">
        <v>196</v>
      </c>
      <c r="G173" t="s">
        <v>172</v>
      </c>
      <c r="H173" s="53"/>
      <c r="J173" s="79">
        <f t="shared" ref="J173:Y173" si="43">J147 * (1 - J28)</f>
        <v>0</v>
      </c>
      <c r="K173" s="79">
        <f t="shared" si="43"/>
        <v>0</v>
      </c>
      <c r="L173" s="79">
        <f t="shared" si="43"/>
        <v>0</v>
      </c>
      <c r="M173" s="79">
        <f t="shared" si="43"/>
        <v>0</v>
      </c>
      <c r="N173" s="79">
        <f t="shared" si="43"/>
        <v>0</v>
      </c>
      <c r="O173" s="79">
        <f t="shared" si="43"/>
        <v>0</v>
      </c>
      <c r="P173" s="79">
        <f t="shared" si="43"/>
        <v>0</v>
      </c>
      <c r="Q173" s="79">
        <f t="shared" si="43"/>
        <v>0</v>
      </c>
      <c r="R173" s="79">
        <f t="shared" si="43"/>
        <v>0</v>
      </c>
      <c r="S173" s="79">
        <f t="shared" si="43"/>
        <v>0</v>
      </c>
      <c r="T173" s="79">
        <f t="shared" si="43"/>
        <v>0</v>
      </c>
      <c r="U173" s="79">
        <f t="shared" si="43"/>
        <v>0</v>
      </c>
      <c r="V173" s="79">
        <f t="shared" si="43"/>
        <v>0</v>
      </c>
      <c r="W173" s="79">
        <f t="shared" si="43"/>
        <v>0</v>
      </c>
      <c r="X173" s="79">
        <f t="shared" si="43"/>
        <v>0</v>
      </c>
      <c r="Y173" s="79">
        <f t="shared" si="43"/>
        <v>0</v>
      </c>
      <c r="AQ173" s="3"/>
    </row>
    <row r="174" spans="3:43" x14ac:dyDescent="0.35">
      <c r="C174" s="27"/>
      <c r="F174" t="s">
        <v>197</v>
      </c>
      <c r="G174" t="s">
        <v>172</v>
      </c>
      <c r="H174" s="53"/>
      <c r="J174" s="79">
        <f t="shared" ref="J174:Y174" si="44">J148 * (1 - J29)</f>
        <v>2012.9227913909824</v>
      </c>
      <c r="K174" s="79">
        <f t="shared" si="44"/>
        <v>8.8958247896534441</v>
      </c>
      <c r="L174" s="79">
        <f t="shared" si="44"/>
        <v>597.99287299266769</v>
      </c>
      <c r="M174" s="79">
        <f t="shared" si="44"/>
        <v>2.2055695611441077</v>
      </c>
      <c r="N174" s="79">
        <f t="shared" si="44"/>
        <v>658.41824701754581</v>
      </c>
      <c r="O174" s="79">
        <f t="shared" si="44"/>
        <v>0</v>
      </c>
      <c r="P174" s="79">
        <f t="shared" si="44"/>
        <v>0</v>
      </c>
      <c r="Q174" s="79">
        <f t="shared" si="44"/>
        <v>26.380930701054947</v>
      </c>
      <c r="R174" s="79">
        <f t="shared" si="44"/>
        <v>-1.6567080091781623</v>
      </c>
      <c r="S174" s="79">
        <f t="shared" si="44"/>
        <v>-4.0963238832985367E-2</v>
      </c>
      <c r="T174" s="79">
        <f t="shared" si="44"/>
        <v>-7.7257551296061768</v>
      </c>
      <c r="U174" s="79">
        <f t="shared" si="44"/>
        <v>0</v>
      </c>
      <c r="V174" s="79">
        <f t="shared" si="44"/>
        <v>0</v>
      </c>
      <c r="W174" s="79">
        <f t="shared" si="44"/>
        <v>0</v>
      </c>
      <c r="X174" s="79">
        <f t="shared" si="44"/>
        <v>0</v>
      </c>
      <c r="Y174" s="79">
        <f t="shared" si="44"/>
        <v>0</v>
      </c>
      <c r="AQ174" s="3"/>
    </row>
    <row r="175" spans="3:43" x14ac:dyDescent="0.35">
      <c r="C175" s="27"/>
      <c r="F175" t="s">
        <v>198</v>
      </c>
      <c r="G175" t="s">
        <v>172</v>
      </c>
      <c r="H175" s="53"/>
      <c r="J175" s="79">
        <f t="shared" ref="J175:Y175" si="45">J149 * (1 - J30)</f>
        <v>1982.0438223955307</v>
      </c>
      <c r="K175" s="79">
        <f t="shared" si="45"/>
        <v>8.7593595963318176</v>
      </c>
      <c r="L175" s="79">
        <f t="shared" si="45"/>
        <v>588.81944445203237</v>
      </c>
      <c r="M175" s="79">
        <f t="shared" si="45"/>
        <v>2.1717353205129419</v>
      </c>
      <c r="N175" s="79">
        <f t="shared" si="45"/>
        <v>0</v>
      </c>
      <c r="O175" s="79">
        <f t="shared" si="45"/>
        <v>0</v>
      </c>
      <c r="P175" s="79">
        <f t="shared" si="45"/>
        <v>0</v>
      </c>
      <c r="Q175" s="79">
        <f t="shared" si="45"/>
        <v>25.976237612639913</v>
      </c>
      <c r="R175" s="79">
        <f t="shared" si="45"/>
        <v>-1.6312935047228883</v>
      </c>
      <c r="S175" s="79">
        <f t="shared" si="45"/>
        <v>0</v>
      </c>
      <c r="T175" s="79">
        <f t="shared" si="45"/>
        <v>-7.6072392311654298</v>
      </c>
      <c r="U175" s="79">
        <f t="shared" si="45"/>
        <v>0</v>
      </c>
      <c r="V175" s="79">
        <f t="shared" si="45"/>
        <v>0</v>
      </c>
      <c r="W175" s="79">
        <f t="shared" si="45"/>
        <v>0</v>
      </c>
      <c r="X175" s="79">
        <f t="shared" si="45"/>
        <v>0</v>
      </c>
      <c r="Y175" s="79">
        <f t="shared" si="45"/>
        <v>0</v>
      </c>
      <c r="AQ175" s="3"/>
    </row>
    <row r="176" spans="3:43" x14ac:dyDescent="0.35">
      <c r="C176" s="27"/>
      <c r="F176" s="28" t="s">
        <v>199</v>
      </c>
      <c r="G176" s="28" t="s">
        <v>172</v>
      </c>
      <c r="H176" s="120"/>
      <c r="I176" s="28"/>
      <c r="J176" s="72">
        <f t="shared" ref="J176:Y176" si="46">J150 * (1 - J31)</f>
        <v>0</v>
      </c>
      <c r="K176" s="72">
        <f t="shared" si="46"/>
        <v>0</v>
      </c>
      <c r="L176" s="72">
        <f t="shared" si="46"/>
        <v>0</v>
      </c>
      <c r="M176" s="72">
        <f t="shared" si="46"/>
        <v>0</v>
      </c>
      <c r="N176" s="72">
        <f t="shared" si="46"/>
        <v>0</v>
      </c>
      <c r="O176" s="72">
        <f t="shared" si="46"/>
        <v>0</v>
      </c>
      <c r="P176" s="72">
        <f t="shared" si="46"/>
        <v>0</v>
      </c>
      <c r="Q176" s="72">
        <f t="shared" si="46"/>
        <v>24.856161311911396</v>
      </c>
      <c r="R176" s="72">
        <f t="shared" si="46"/>
        <v>0</v>
      </c>
      <c r="S176" s="72">
        <f t="shared" si="46"/>
        <v>0</v>
      </c>
      <c r="T176" s="72">
        <f t="shared" si="46"/>
        <v>0</v>
      </c>
      <c r="U176" s="72">
        <f t="shared" si="46"/>
        <v>0</v>
      </c>
      <c r="V176" s="72">
        <f t="shared" si="46"/>
        <v>0</v>
      </c>
      <c r="W176" s="72">
        <f t="shared" si="46"/>
        <v>0</v>
      </c>
      <c r="X176" s="72">
        <f t="shared" si="46"/>
        <v>0</v>
      </c>
      <c r="Y176" s="72">
        <f t="shared" si="46"/>
        <v>0</v>
      </c>
      <c r="AQ176" s="3"/>
    </row>
    <row r="177" spans="2:43" x14ac:dyDescent="0.35">
      <c r="C177" s="27"/>
      <c r="F177" s="98" t="s">
        <v>100</v>
      </c>
      <c r="G177" s="98" t="s">
        <v>172</v>
      </c>
      <c r="H177" s="158"/>
      <c r="I177" s="98"/>
      <c r="J177" s="157">
        <f t="shared" ref="J177:Y177" si="47">SUM(J168:J176)</f>
        <v>15137.216399464152</v>
      </c>
      <c r="K177" s="157">
        <f t="shared" si="47"/>
        <v>40.181567532849023</v>
      </c>
      <c r="L177" s="157">
        <f t="shared" si="47"/>
        <v>4129.0912738759052</v>
      </c>
      <c r="M177" s="157">
        <f t="shared" si="47"/>
        <v>12.578501082449124</v>
      </c>
      <c r="N177" s="157">
        <f t="shared" si="47"/>
        <v>4831.068812907095</v>
      </c>
      <c r="O177" s="157">
        <f t="shared" si="47"/>
        <v>200.20485431998526</v>
      </c>
      <c r="P177" s="157">
        <f t="shared" si="47"/>
        <v>1962.5631247984711</v>
      </c>
      <c r="Q177" s="157">
        <f t="shared" si="47"/>
        <v>251.4487965286678</v>
      </c>
      <c r="R177" s="157">
        <f t="shared" si="47"/>
        <v>-10.728296491115296</v>
      </c>
      <c r="S177" s="157">
        <f t="shared" si="47"/>
        <v>-0.26136005819462327</v>
      </c>
      <c r="T177" s="157">
        <f t="shared" si="47"/>
        <v>-50.788545781739003</v>
      </c>
      <c r="U177" s="157">
        <f t="shared" si="47"/>
        <v>0</v>
      </c>
      <c r="V177" s="157">
        <f t="shared" si="47"/>
        <v>0</v>
      </c>
      <c r="W177" s="157">
        <f t="shared" si="47"/>
        <v>0</v>
      </c>
      <c r="X177" s="157">
        <f t="shared" si="47"/>
        <v>-562.60034396867627</v>
      </c>
      <c r="Y177" s="157">
        <f t="shared" si="47"/>
        <v>0</v>
      </c>
      <c r="AQ177" s="3"/>
    </row>
    <row r="178" spans="2:43" x14ac:dyDescent="0.35">
      <c r="H178" s="156"/>
    </row>
    <row r="179" spans="2:43" x14ac:dyDescent="0.35">
      <c r="B179" s="25" t="s">
        <v>522</v>
      </c>
      <c r="C179" s="25"/>
      <c r="D179" s="25"/>
      <c r="E179" s="25"/>
      <c r="F179" s="25"/>
      <c r="G179" s="25"/>
      <c r="H179" s="25"/>
      <c r="I179" s="25"/>
      <c r="J179" s="123"/>
      <c r="K179" s="123"/>
      <c r="L179" s="123"/>
      <c r="M179" s="123"/>
      <c r="N179" s="123"/>
      <c r="O179" s="123"/>
      <c r="P179" s="123"/>
      <c r="Q179" s="123"/>
      <c r="R179" s="123"/>
      <c r="S179" s="123"/>
      <c r="T179" s="123"/>
      <c r="U179" s="123"/>
      <c r="V179" s="123"/>
      <c r="W179" s="123"/>
      <c r="X179" s="123"/>
      <c r="Y179" s="123"/>
      <c r="Z179" s="25"/>
      <c r="AA179" s="25"/>
      <c r="AQ179" s="3"/>
    </row>
    <row r="180" spans="2:43" x14ac:dyDescent="0.35">
      <c r="C180" s="27"/>
      <c r="J180" s="53"/>
      <c r="K180" s="53"/>
      <c r="L180" s="53"/>
      <c r="M180" s="53"/>
      <c r="N180" s="53"/>
      <c r="O180" s="53"/>
      <c r="P180" s="53"/>
      <c r="Q180" s="53"/>
      <c r="R180" s="53"/>
      <c r="S180" s="53"/>
      <c r="T180" s="53"/>
      <c r="U180" s="53"/>
      <c r="V180" s="53"/>
      <c r="W180" s="53"/>
      <c r="X180" s="53"/>
      <c r="Y180" s="53"/>
      <c r="AQ180" s="3"/>
    </row>
    <row r="181" spans="2:43" x14ac:dyDescent="0.35">
      <c r="C181" s="24" t="s">
        <v>523</v>
      </c>
      <c r="J181" s="53"/>
      <c r="K181" s="53"/>
      <c r="L181" s="53"/>
      <c r="M181" s="53"/>
      <c r="N181" s="53"/>
      <c r="O181" s="53"/>
      <c r="P181" s="53"/>
      <c r="Q181" s="53"/>
      <c r="R181" s="53"/>
      <c r="S181" s="53"/>
      <c r="T181" s="53"/>
      <c r="U181" s="53"/>
      <c r="V181" s="53"/>
      <c r="W181" s="53"/>
      <c r="X181" s="53"/>
      <c r="Y181" s="53"/>
      <c r="AQ181" s="3"/>
    </row>
    <row r="182" spans="2:43" x14ac:dyDescent="0.35">
      <c r="C182" s="24" t="s">
        <v>524</v>
      </c>
      <c r="J182" s="53"/>
      <c r="K182" s="53"/>
      <c r="L182" s="53"/>
      <c r="M182" s="53"/>
      <c r="N182" s="53"/>
      <c r="O182" s="53"/>
      <c r="P182" s="53"/>
      <c r="Q182" s="53"/>
      <c r="R182" s="53"/>
      <c r="S182" s="53"/>
      <c r="T182" s="53"/>
      <c r="U182" s="53"/>
      <c r="V182" s="53"/>
      <c r="W182" s="53"/>
      <c r="X182" s="53"/>
      <c r="Y182" s="53"/>
      <c r="AQ182" s="3"/>
    </row>
    <row r="183" spans="2:43" x14ac:dyDescent="0.35">
      <c r="C183" s="27"/>
      <c r="J183" s="53"/>
      <c r="K183" s="53"/>
      <c r="L183" s="53"/>
      <c r="M183" s="53"/>
      <c r="N183" s="53"/>
      <c r="O183" s="53"/>
      <c r="P183" s="53"/>
      <c r="Q183" s="53"/>
      <c r="R183" s="53"/>
      <c r="S183" s="53"/>
      <c r="T183" s="53"/>
      <c r="U183" s="53"/>
      <c r="V183" s="53"/>
      <c r="W183" s="53"/>
      <c r="X183" s="53"/>
      <c r="Y183" s="53"/>
      <c r="AQ183" s="3"/>
    </row>
    <row r="184" spans="2:43" x14ac:dyDescent="0.35">
      <c r="C184" s="26" t="str">
        <f ca="1">INDEX('Version control'!$H$38:$H$61,MATCH($A$1,'Version control'!$F$38:$F$61,0),1)&amp;"-E: Adjustment of import and exceeded capacity"</f>
        <v>Section 106-E: Adjustment of import and exceeded capacity</v>
      </c>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Q184" s="3"/>
    </row>
    <row r="185" spans="2:43" x14ac:dyDescent="0.35">
      <c r="C185" s="27"/>
      <c r="J185" s="53"/>
      <c r="K185" s="53"/>
      <c r="L185" s="53"/>
      <c r="M185" s="53"/>
      <c r="N185" s="53"/>
      <c r="O185" s="53"/>
      <c r="P185" s="53"/>
      <c r="Q185" s="53"/>
      <c r="R185" s="53"/>
      <c r="S185" s="53"/>
      <c r="T185" s="53"/>
      <c r="U185" s="53"/>
      <c r="V185" s="53"/>
      <c r="W185" s="53"/>
      <c r="X185" s="53"/>
      <c r="Y185" s="53"/>
      <c r="AQ185" s="3"/>
    </row>
    <row r="186" spans="2:43" x14ac:dyDescent="0.35">
      <c r="D186" s="24" t="s">
        <v>525</v>
      </c>
      <c r="E186" s="24"/>
      <c r="J186" s="53"/>
      <c r="K186" s="53"/>
      <c r="L186" s="53"/>
      <c r="M186" s="53"/>
      <c r="N186" s="53"/>
      <c r="O186" s="53"/>
      <c r="P186" s="53"/>
      <c r="Q186" s="53"/>
      <c r="R186" s="53"/>
      <c r="S186" s="53"/>
      <c r="T186" s="53"/>
      <c r="U186" s="53"/>
      <c r="V186" s="53"/>
      <c r="W186" s="53"/>
      <c r="X186" s="53"/>
      <c r="Y186" s="53"/>
      <c r="AQ186" s="3"/>
    </row>
    <row r="187" spans="2:43" x14ac:dyDescent="0.35">
      <c r="J187" s="53"/>
      <c r="K187" s="53"/>
      <c r="L187" s="53"/>
      <c r="M187" s="53"/>
      <c r="N187" s="53"/>
      <c r="O187" s="53"/>
      <c r="P187" s="53"/>
      <c r="Q187" s="53"/>
      <c r="R187" s="53"/>
      <c r="S187" s="53"/>
      <c r="T187" s="53"/>
      <c r="U187" s="53"/>
      <c r="V187" s="53"/>
      <c r="W187" s="53"/>
      <c r="X187" s="53"/>
      <c r="Y187" s="53"/>
      <c r="AQ187" s="3"/>
    </row>
    <row r="188" spans="2:43" x14ac:dyDescent="0.35">
      <c r="C188" s="27"/>
      <c r="E188" t="s">
        <v>250</v>
      </c>
      <c r="G188" t="s">
        <v>251</v>
      </c>
      <c r="J188" s="110">
        <f>'Volume adjustments'!J286</f>
        <v>0</v>
      </c>
      <c r="K188" s="110">
        <f>'Volume adjustments'!K286</f>
        <v>0</v>
      </c>
      <c r="L188" s="110">
        <f>'Volume adjustments'!L286</f>
        <v>0</v>
      </c>
      <c r="M188" s="110">
        <f>'Volume adjustments'!M286</f>
        <v>0</v>
      </c>
      <c r="N188" s="110">
        <f>'Volume adjustments'!N286</f>
        <v>3548381.9007470147</v>
      </c>
      <c r="O188" s="110">
        <f>'Volume adjustments'!O286</f>
        <v>158580.97113531988</v>
      </c>
      <c r="P188" s="110">
        <f>'Volume adjustments'!P286</f>
        <v>1976534.8343877152</v>
      </c>
      <c r="Q188" s="110">
        <f>'Volume adjustments'!Q286</f>
        <v>0</v>
      </c>
      <c r="R188" s="110">
        <f>'Volume adjustments'!R286</f>
        <v>0</v>
      </c>
      <c r="S188" s="110">
        <f>'Volume adjustments'!S286</f>
        <v>0</v>
      </c>
      <c r="T188" s="110">
        <f>'Volume adjustments'!T286</f>
        <v>0</v>
      </c>
      <c r="U188" s="110">
        <f>'Volume adjustments'!U286</f>
        <v>0</v>
      </c>
      <c r="V188" s="110">
        <f>'Volume adjustments'!V286</f>
        <v>0</v>
      </c>
      <c r="W188" s="110">
        <f>'Volume adjustments'!W286</f>
        <v>0</v>
      </c>
      <c r="X188" s="110">
        <f>'Volume adjustments'!X286</f>
        <v>0</v>
      </c>
      <c r="Y188" s="110">
        <f>'Volume adjustments'!Y286</f>
        <v>0</v>
      </c>
      <c r="AQ188" s="3"/>
    </row>
    <row r="189" spans="2:43" x14ac:dyDescent="0.35">
      <c r="C189" s="27"/>
      <c r="E189" t="s">
        <v>252</v>
      </c>
      <c r="G189" t="s">
        <v>251</v>
      </c>
      <c r="J189" s="110">
        <f>'Volume adjustments'!J297</f>
        <v>0</v>
      </c>
      <c r="K189" s="110">
        <f>'Volume adjustments'!K297</f>
        <v>0</v>
      </c>
      <c r="L189" s="110">
        <f>'Volume adjustments'!L297</f>
        <v>0</v>
      </c>
      <c r="M189" s="110">
        <f>'Volume adjustments'!M297</f>
        <v>0</v>
      </c>
      <c r="N189" s="110">
        <f>'Volume adjustments'!N297</f>
        <v>56434.132620814336</v>
      </c>
      <c r="O189" s="110">
        <f>'Volume adjustments'!O297</f>
        <v>684.6301530255447</v>
      </c>
      <c r="P189" s="110">
        <f>'Volume adjustments'!P297</f>
        <v>40765.769245105075</v>
      </c>
      <c r="Q189" s="110">
        <f>'Volume adjustments'!Q297</f>
        <v>0</v>
      </c>
      <c r="R189" s="110">
        <f>'Volume adjustments'!R297</f>
        <v>0</v>
      </c>
      <c r="S189" s="110">
        <f>'Volume adjustments'!S297</f>
        <v>0</v>
      </c>
      <c r="T189" s="110">
        <f>'Volume adjustments'!T297</f>
        <v>0</v>
      </c>
      <c r="U189" s="110">
        <f>'Volume adjustments'!U297</f>
        <v>0</v>
      </c>
      <c r="V189" s="110">
        <f>'Volume adjustments'!V297</f>
        <v>0</v>
      </c>
      <c r="W189" s="110">
        <f>'Volume adjustments'!W297</f>
        <v>0</v>
      </c>
      <c r="X189" s="110">
        <f>'Volume adjustments'!X297</f>
        <v>0</v>
      </c>
      <c r="Y189" s="110">
        <f>'Volume adjustments'!Y297</f>
        <v>0</v>
      </c>
      <c r="AQ189" s="3"/>
    </row>
    <row r="190" spans="2:43" x14ac:dyDescent="0.35">
      <c r="C190" s="27"/>
      <c r="J190" s="110"/>
      <c r="K190" s="110"/>
      <c r="L190" s="110"/>
      <c r="M190" s="110"/>
      <c r="N190" s="110"/>
      <c r="O190" s="110"/>
      <c r="P190" s="110"/>
      <c r="Q190" s="110"/>
      <c r="R190" s="110"/>
      <c r="S190" s="110"/>
      <c r="T190" s="110"/>
      <c r="U190" s="110"/>
      <c r="V190" s="110"/>
      <c r="W190" s="110"/>
      <c r="X190" s="110"/>
      <c r="Y190" s="110"/>
      <c r="AQ190" s="3"/>
    </row>
    <row r="191" spans="2:43" x14ac:dyDescent="0.35">
      <c r="C191" s="27"/>
      <c r="E191" t="s">
        <v>526</v>
      </c>
      <c r="G191" t="s">
        <v>251</v>
      </c>
      <c r="J191" s="79">
        <f t="shared" ref="J191:Y191" si="48">SUM(J188:J189)</f>
        <v>0</v>
      </c>
      <c r="K191" s="79">
        <f t="shared" si="48"/>
        <v>0</v>
      </c>
      <c r="L191" s="79">
        <f t="shared" si="48"/>
        <v>0</v>
      </c>
      <c r="M191" s="79">
        <f t="shared" si="48"/>
        <v>0</v>
      </c>
      <c r="N191" s="79">
        <f t="shared" si="48"/>
        <v>3604816.0333678289</v>
      </c>
      <c r="O191" s="79">
        <f t="shared" si="48"/>
        <v>159265.60128834544</v>
      </c>
      <c r="P191" s="79">
        <f t="shared" si="48"/>
        <v>2017300.6036328203</v>
      </c>
      <c r="Q191" s="79">
        <f t="shared" si="48"/>
        <v>0</v>
      </c>
      <c r="R191" s="79">
        <f t="shared" si="48"/>
        <v>0</v>
      </c>
      <c r="S191" s="79">
        <f t="shared" si="48"/>
        <v>0</v>
      </c>
      <c r="T191" s="79">
        <f t="shared" si="48"/>
        <v>0</v>
      </c>
      <c r="U191" s="79">
        <f t="shared" si="48"/>
        <v>0</v>
      </c>
      <c r="V191" s="79">
        <f t="shared" si="48"/>
        <v>0</v>
      </c>
      <c r="W191" s="79">
        <f t="shared" si="48"/>
        <v>0</v>
      </c>
      <c r="X191" s="79">
        <f t="shared" si="48"/>
        <v>0</v>
      </c>
      <c r="Y191" s="79">
        <f t="shared" si="48"/>
        <v>0</v>
      </c>
      <c r="AQ191" s="3"/>
    </row>
    <row r="192" spans="2:43" x14ac:dyDescent="0.35">
      <c r="C192" s="27"/>
      <c r="E192" t="s">
        <v>527</v>
      </c>
      <c r="G192" t="s">
        <v>172</v>
      </c>
      <c r="J192" s="79">
        <f t="shared" ref="J192:Y192" si="49">J191 * PowerFactor / thousand</f>
        <v>0</v>
      </c>
      <c r="K192" s="79">
        <f t="shared" si="49"/>
        <v>0</v>
      </c>
      <c r="L192" s="79">
        <f t="shared" si="49"/>
        <v>0</v>
      </c>
      <c r="M192" s="79">
        <f t="shared" si="49"/>
        <v>0</v>
      </c>
      <c r="N192" s="79">
        <f t="shared" si="49"/>
        <v>3424.5752316994372</v>
      </c>
      <c r="O192" s="79">
        <f t="shared" si="49"/>
        <v>151.30232122392815</v>
      </c>
      <c r="P192" s="79">
        <f t="shared" si="49"/>
        <v>1916.4355734511794</v>
      </c>
      <c r="Q192" s="79">
        <f t="shared" si="49"/>
        <v>0</v>
      </c>
      <c r="R192" s="79">
        <f t="shared" si="49"/>
        <v>0</v>
      </c>
      <c r="S192" s="79">
        <f t="shared" si="49"/>
        <v>0</v>
      </c>
      <c r="T192" s="79">
        <f t="shared" si="49"/>
        <v>0</v>
      </c>
      <c r="U192" s="79">
        <f t="shared" si="49"/>
        <v>0</v>
      </c>
      <c r="V192" s="79">
        <f t="shared" si="49"/>
        <v>0</v>
      </c>
      <c r="W192" s="79">
        <f t="shared" si="49"/>
        <v>0</v>
      </c>
      <c r="X192" s="79">
        <f t="shared" si="49"/>
        <v>0</v>
      </c>
      <c r="Y192" s="79">
        <f t="shared" si="49"/>
        <v>0</v>
      </c>
      <c r="AQ192" s="3"/>
    </row>
    <row r="193" spans="3:43" x14ac:dyDescent="0.35">
      <c r="C193" s="27"/>
      <c r="J193" s="53"/>
      <c r="K193" s="53"/>
      <c r="L193" s="53"/>
      <c r="M193" s="53"/>
      <c r="N193" s="53"/>
      <c r="O193" s="53"/>
      <c r="P193" s="53"/>
      <c r="Q193" s="53"/>
      <c r="R193" s="53"/>
      <c r="S193" s="53"/>
      <c r="T193" s="53"/>
      <c r="U193" s="53"/>
      <c r="V193" s="53"/>
      <c r="W193" s="53"/>
      <c r="X193" s="53"/>
      <c r="Y193" s="53"/>
      <c r="AQ193" s="3"/>
    </row>
    <row r="194" spans="3:43" x14ac:dyDescent="0.35">
      <c r="C194" s="26" t="str">
        <f ca="1">INDEX('Version control'!$H$38:$H$61,MATCH($A$1,'Version control'!$F$38:$F$61,0),1)&amp;"-F: Calculation of LV circuit diversity factor"</f>
        <v>Section 106-F: Calculation of LV circuit diversity factor</v>
      </c>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Q194" s="3"/>
    </row>
    <row r="195" spans="3:43" x14ac:dyDescent="0.35">
      <c r="C195" s="27"/>
      <c r="J195" s="53"/>
      <c r="K195" s="53"/>
      <c r="L195" s="53"/>
      <c r="M195" s="53"/>
      <c r="N195" s="53"/>
      <c r="O195" s="53"/>
      <c r="P195" s="53"/>
      <c r="Q195" s="53"/>
      <c r="R195" s="53"/>
      <c r="S195" s="53"/>
      <c r="T195" s="53"/>
      <c r="U195" s="53"/>
      <c r="V195" s="53"/>
      <c r="W195" s="53"/>
      <c r="X195" s="53"/>
      <c r="Y195" s="53"/>
      <c r="AQ195" s="3"/>
    </row>
    <row r="196" spans="3:43" x14ac:dyDescent="0.35">
      <c r="C196" s="27"/>
      <c r="D196" s="24" t="s">
        <v>528</v>
      </c>
      <c r="J196" s="53"/>
      <c r="K196" s="53"/>
      <c r="L196" s="53"/>
      <c r="M196" s="53"/>
      <c r="N196" s="53"/>
      <c r="O196" s="53"/>
      <c r="P196" s="53"/>
      <c r="Q196" s="53"/>
      <c r="R196" s="53"/>
      <c r="S196" s="53"/>
      <c r="T196" s="53"/>
      <c r="U196" s="53"/>
      <c r="V196" s="53"/>
      <c r="W196" s="53"/>
      <c r="X196" s="53"/>
      <c r="Y196" s="53"/>
      <c r="AQ196" s="3"/>
    </row>
    <row r="197" spans="3:43" x14ac:dyDescent="0.35">
      <c r="D197" s="27"/>
      <c r="J197" s="53"/>
      <c r="K197" s="53"/>
      <c r="L197" s="53"/>
      <c r="M197" s="53"/>
      <c r="N197" s="53"/>
      <c r="O197" s="53"/>
      <c r="P197" s="53"/>
      <c r="Q197" s="53"/>
      <c r="R197" s="53"/>
      <c r="S197" s="53"/>
      <c r="T197" s="53"/>
      <c r="U197" s="53"/>
      <c r="V197" s="53"/>
      <c r="W197" s="53"/>
      <c r="X197" s="53"/>
      <c r="Y197" s="53"/>
      <c r="AQ197" s="3"/>
    </row>
    <row r="198" spans="3:43" x14ac:dyDescent="0.35">
      <c r="E198" t="s">
        <v>221</v>
      </c>
      <c r="G198" t="s">
        <v>209</v>
      </c>
      <c r="H198" s="156"/>
      <c r="I198" t="s">
        <v>154</v>
      </c>
      <c r="J198" s="159" t="b">
        <f>'Fixed inputs'!J131</f>
        <v>1</v>
      </c>
      <c r="K198" s="159" t="b">
        <f>'Fixed inputs'!K131</f>
        <v>0</v>
      </c>
      <c r="L198" s="159" t="b">
        <f>'Fixed inputs'!L131</f>
        <v>1</v>
      </c>
      <c r="M198" s="159" t="b">
        <f>'Fixed inputs'!M131</f>
        <v>0</v>
      </c>
      <c r="N198" s="159" t="b">
        <f>'Fixed inputs'!N131</f>
        <v>1</v>
      </c>
      <c r="O198" s="159" t="b">
        <f>'Fixed inputs'!O131</f>
        <v>1</v>
      </c>
      <c r="P198" s="159" t="b">
        <f>'Fixed inputs'!P131</f>
        <v>1</v>
      </c>
      <c r="Q198" s="159" t="b">
        <f>'Fixed inputs'!Q131</f>
        <v>1</v>
      </c>
      <c r="R198" s="159" t="b">
        <f>'Fixed inputs'!R131</f>
        <v>1</v>
      </c>
      <c r="S198" s="159" t="b">
        <f>'Fixed inputs'!S131</f>
        <v>1</v>
      </c>
      <c r="T198" s="159" t="b">
        <f>'Fixed inputs'!T131</f>
        <v>1</v>
      </c>
      <c r="U198" s="159" t="b">
        <f>'Fixed inputs'!U131</f>
        <v>1</v>
      </c>
      <c r="V198" s="159" t="b">
        <f>'Fixed inputs'!V131</f>
        <v>1</v>
      </c>
      <c r="W198" s="159" t="b">
        <f>'Fixed inputs'!W131</f>
        <v>1</v>
      </c>
      <c r="X198" s="159" t="b">
        <f>'Fixed inputs'!X131</f>
        <v>1</v>
      </c>
      <c r="Y198" s="159" t="b">
        <f>'Fixed inputs'!Y131</f>
        <v>1</v>
      </c>
      <c r="AA198" t="s">
        <v>529</v>
      </c>
    </row>
    <row r="199" spans="3:43" x14ac:dyDescent="0.35">
      <c r="D199" s="27"/>
      <c r="H199" s="160"/>
      <c r="J199" s="53"/>
      <c r="L199" s="53"/>
      <c r="AQ199" s="3"/>
    </row>
    <row r="200" spans="3:43" x14ac:dyDescent="0.35">
      <c r="C200" s="27"/>
      <c r="E200" t="s">
        <v>530</v>
      </c>
      <c r="G200" t="s">
        <v>172</v>
      </c>
      <c r="H200" s="53"/>
      <c r="I200" t="s">
        <v>154</v>
      </c>
      <c r="J200" s="111">
        <f t="shared" ref="J200:Q200" si="50">IF(J61 = 0, 0, J59 / (hours_in_year * J61))</f>
        <v>2439.890955488318</v>
      </c>
      <c r="K200" s="111">
        <f t="shared" si="50"/>
        <v>193.35949746858032</v>
      </c>
      <c r="L200" s="111">
        <f t="shared" si="50"/>
        <v>858.69198853825776</v>
      </c>
      <c r="M200" s="111">
        <f t="shared" si="50"/>
        <v>20.371748816590319</v>
      </c>
      <c r="N200" s="111">
        <f t="shared" si="50"/>
        <v>1019.9941138152561</v>
      </c>
      <c r="O200" s="111">
        <f t="shared" si="50"/>
        <v>50.239899867444038</v>
      </c>
      <c r="P200" s="111">
        <f t="shared" si="50"/>
        <v>654.14973409248114</v>
      </c>
      <c r="Q200" s="111">
        <f t="shared" si="50"/>
        <v>45.468893919492203</v>
      </c>
      <c r="R200" s="67"/>
      <c r="S200" s="67"/>
      <c r="T200" s="67"/>
      <c r="U200" s="67"/>
      <c r="V200" s="67"/>
      <c r="W200" s="67"/>
      <c r="X200" s="67"/>
      <c r="Y200" s="67"/>
      <c r="AA200" t="s">
        <v>529</v>
      </c>
      <c r="AQ200" s="3"/>
    </row>
    <row r="201" spans="3:43" x14ac:dyDescent="0.35">
      <c r="C201" s="27"/>
      <c r="H201" s="53"/>
      <c r="J201" s="79"/>
      <c r="K201" s="79"/>
      <c r="L201" s="79"/>
      <c r="M201" s="79"/>
      <c r="N201" s="79"/>
      <c r="O201" s="79"/>
      <c r="P201" s="79"/>
      <c r="Q201" s="79"/>
      <c r="R201" s="53"/>
      <c r="S201" s="53"/>
      <c r="T201" s="53"/>
      <c r="U201" s="53"/>
      <c r="V201" s="53"/>
      <c r="W201" s="53"/>
      <c r="X201" s="53"/>
      <c r="Y201" s="53"/>
      <c r="AQ201" s="3"/>
    </row>
    <row r="202" spans="3:43" x14ac:dyDescent="0.35">
      <c r="E202" t="s">
        <v>531</v>
      </c>
      <c r="G202" t="s">
        <v>172</v>
      </c>
      <c r="H202" s="53"/>
      <c r="I202" t="s">
        <v>154</v>
      </c>
      <c r="J202" s="79">
        <f t="shared" ref="J202:Y202" si="51">J192 * J42 / $H53</f>
        <v>0</v>
      </c>
      <c r="K202" s="79">
        <f t="shared" si="51"/>
        <v>0</v>
      </c>
      <c r="L202" s="79">
        <f t="shared" si="51"/>
        <v>0</v>
      </c>
      <c r="M202" s="79">
        <f t="shared" si="51"/>
        <v>0</v>
      </c>
      <c r="N202" s="79">
        <f t="shared" si="51"/>
        <v>3424.5752316994372</v>
      </c>
      <c r="O202" s="79">
        <f t="shared" si="51"/>
        <v>0</v>
      </c>
      <c r="P202" s="79">
        <f t="shared" si="51"/>
        <v>0</v>
      </c>
      <c r="Q202" s="79">
        <f t="shared" si="51"/>
        <v>0</v>
      </c>
      <c r="R202" s="79">
        <f t="shared" si="51"/>
        <v>0</v>
      </c>
      <c r="S202" s="79">
        <f t="shared" si="51"/>
        <v>0</v>
      </c>
      <c r="T202" s="79">
        <f t="shared" si="51"/>
        <v>0</v>
      </c>
      <c r="U202" s="79">
        <f t="shared" si="51"/>
        <v>0</v>
      </c>
      <c r="V202" s="79">
        <f t="shared" si="51"/>
        <v>0</v>
      </c>
      <c r="W202" s="79">
        <f t="shared" si="51"/>
        <v>0</v>
      </c>
      <c r="X202" s="79">
        <f t="shared" si="51"/>
        <v>0</v>
      </c>
      <c r="Y202" s="79">
        <f t="shared" si="51"/>
        <v>0</v>
      </c>
      <c r="AA202" t="s">
        <v>529</v>
      </c>
    </row>
    <row r="203" spans="3:43" x14ac:dyDescent="0.35">
      <c r="H203" s="53"/>
      <c r="J203" s="79"/>
      <c r="K203" s="79"/>
      <c r="L203" s="79"/>
      <c r="M203" s="79"/>
      <c r="N203" s="79"/>
      <c r="O203" s="79"/>
      <c r="P203" s="79"/>
      <c r="Q203" s="79"/>
      <c r="R203" s="79"/>
      <c r="S203" s="79"/>
      <c r="T203" s="79"/>
      <c r="U203" s="79"/>
      <c r="V203" s="79"/>
      <c r="W203" s="79"/>
      <c r="X203" s="79"/>
      <c r="Y203" s="79"/>
    </row>
    <row r="204" spans="3:43" x14ac:dyDescent="0.35">
      <c r="E204" t="s">
        <v>532</v>
      </c>
      <c r="G204" t="s">
        <v>172</v>
      </c>
      <c r="H204" s="53"/>
      <c r="J204" s="79">
        <f t="shared" ref="J204:Y204" si="52">IF(J198, J$200 * J42 / $H53, 0)</f>
        <v>2439.890955488318</v>
      </c>
      <c r="K204" s="79">
        <f t="shared" si="52"/>
        <v>0</v>
      </c>
      <c r="L204" s="79">
        <f t="shared" si="52"/>
        <v>858.69198853825776</v>
      </c>
      <c r="M204" s="79">
        <f t="shared" si="52"/>
        <v>0</v>
      </c>
      <c r="N204" s="79">
        <f t="shared" si="52"/>
        <v>1019.9941138152561</v>
      </c>
      <c r="O204" s="79">
        <f t="shared" si="52"/>
        <v>0</v>
      </c>
      <c r="P204" s="79">
        <f t="shared" si="52"/>
        <v>0</v>
      </c>
      <c r="Q204" s="79">
        <f t="shared" si="52"/>
        <v>45.468893919492203</v>
      </c>
      <c r="R204" s="79">
        <f t="shared" si="52"/>
        <v>0</v>
      </c>
      <c r="S204" s="79">
        <f t="shared" si="52"/>
        <v>0</v>
      </c>
      <c r="T204" s="79">
        <f t="shared" si="52"/>
        <v>0</v>
      </c>
      <c r="U204" s="79">
        <f t="shared" si="52"/>
        <v>0</v>
      </c>
      <c r="V204" s="79">
        <f t="shared" si="52"/>
        <v>0</v>
      </c>
      <c r="W204" s="79">
        <f t="shared" si="52"/>
        <v>0</v>
      </c>
      <c r="X204" s="79">
        <f t="shared" si="52"/>
        <v>0</v>
      </c>
      <c r="Y204" s="79">
        <f t="shared" si="52"/>
        <v>0</v>
      </c>
    </row>
    <row r="205" spans="3:43" x14ac:dyDescent="0.35">
      <c r="H205" s="53"/>
      <c r="J205" s="79"/>
      <c r="K205" s="79"/>
      <c r="L205" s="79"/>
      <c r="M205" s="79"/>
      <c r="N205" s="79"/>
      <c r="O205" s="79"/>
      <c r="P205" s="79"/>
      <c r="Q205" s="79"/>
      <c r="R205" s="79"/>
      <c r="S205" s="79"/>
      <c r="T205" s="79"/>
      <c r="U205" s="79"/>
      <c r="V205" s="79"/>
      <c r="W205" s="79"/>
      <c r="X205" s="79"/>
      <c r="Y205" s="79"/>
    </row>
    <row r="206" spans="3:43" x14ac:dyDescent="0.35">
      <c r="E206" t="s">
        <v>533</v>
      </c>
      <c r="G206" t="s">
        <v>172</v>
      </c>
      <c r="H206" s="53"/>
      <c r="J206" s="79">
        <f t="shared" ref="J206:Y206" si="53">IF(J202 = 0, J204, J202)</f>
        <v>2439.890955488318</v>
      </c>
      <c r="K206" s="79">
        <f t="shared" si="53"/>
        <v>0</v>
      </c>
      <c r="L206" s="79">
        <f t="shared" si="53"/>
        <v>858.69198853825776</v>
      </c>
      <c r="M206" s="79">
        <f t="shared" si="53"/>
        <v>0</v>
      </c>
      <c r="N206" s="79">
        <f t="shared" si="53"/>
        <v>3424.5752316994372</v>
      </c>
      <c r="O206" s="79">
        <f t="shared" si="53"/>
        <v>0</v>
      </c>
      <c r="P206" s="79">
        <f t="shared" si="53"/>
        <v>0</v>
      </c>
      <c r="Q206" s="79">
        <f t="shared" si="53"/>
        <v>45.468893919492203</v>
      </c>
      <c r="R206" s="79">
        <f t="shared" si="53"/>
        <v>0</v>
      </c>
      <c r="S206" s="79">
        <f t="shared" si="53"/>
        <v>0</v>
      </c>
      <c r="T206" s="79">
        <f t="shared" si="53"/>
        <v>0</v>
      </c>
      <c r="U206" s="79">
        <f t="shared" si="53"/>
        <v>0</v>
      </c>
      <c r="V206" s="79">
        <f t="shared" si="53"/>
        <v>0</v>
      </c>
      <c r="W206" s="79">
        <f t="shared" si="53"/>
        <v>0</v>
      </c>
      <c r="X206" s="79">
        <f t="shared" si="53"/>
        <v>0</v>
      </c>
      <c r="Y206" s="79">
        <f t="shared" si="53"/>
        <v>0</v>
      </c>
    </row>
    <row r="207" spans="3:43" x14ac:dyDescent="0.35">
      <c r="H207" s="53"/>
      <c r="J207" s="79"/>
      <c r="K207" s="79"/>
      <c r="L207" s="79"/>
      <c r="M207" s="79"/>
      <c r="N207" s="79"/>
      <c r="O207" s="79"/>
      <c r="P207" s="79"/>
      <c r="Q207" s="79"/>
      <c r="R207" s="79"/>
      <c r="S207" s="79"/>
      <c r="T207" s="79"/>
      <c r="U207" s="79"/>
      <c r="V207" s="79"/>
      <c r="W207" s="79"/>
      <c r="X207" s="79"/>
      <c r="Y207" s="79"/>
    </row>
    <row r="208" spans="3:43" x14ac:dyDescent="0.35">
      <c r="E208" t="s">
        <v>534</v>
      </c>
      <c r="G208" t="s">
        <v>172</v>
      </c>
      <c r="H208" s="53"/>
      <c r="I208" t="s">
        <v>154</v>
      </c>
      <c r="J208" s="79">
        <f t="shared" ref="J208:Y208" si="54">J150</f>
        <v>1896.5795474848976</v>
      </c>
      <c r="K208" s="79">
        <f t="shared" si="54"/>
        <v>8.3816624394257673</v>
      </c>
      <c r="L208" s="79">
        <f t="shared" si="54"/>
        <v>563.42998216832063</v>
      </c>
      <c r="M208" s="79">
        <f t="shared" si="54"/>
        <v>2.0780916874266038</v>
      </c>
      <c r="N208" s="79">
        <f t="shared" si="54"/>
        <v>775.45360055850836</v>
      </c>
      <c r="O208" s="79">
        <f t="shared" si="54"/>
        <v>0</v>
      </c>
      <c r="P208" s="79">
        <f t="shared" si="54"/>
        <v>0</v>
      </c>
      <c r="Q208" s="79">
        <f t="shared" si="54"/>
        <v>24.856161311911396</v>
      </c>
      <c r="R208" s="79">
        <f t="shared" si="54"/>
        <v>0</v>
      </c>
      <c r="S208" s="79">
        <f t="shared" si="54"/>
        <v>0</v>
      </c>
      <c r="T208" s="79">
        <f t="shared" si="54"/>
        <v>0</v>
      </c>
      <c r="U208" s="79">
        <f t="shared" si="54"/>
        <v>0</v>
      </c>
      <c r="V208" s="79">
        <f t="shared" si="54"/>
        <v>0</v>
      </c>
      <c r="W208" s="79">
        <f t="shared" si="54"/>
        <v>0</v>
      </c>
      <c r="X208" s="79">
        <f t="shared" si="54"/>
        <v>0</v>
      </c>
      <c r="Y208" s="79">
        <f t="shared" si="54"/>
        <v>0</v>
      </c>
      <c r="AA208" t="s">
        <v>529</v>
      </c>
    </row>
    <row r="209" spans="5:43" x14ac:dyDescent="0.35">
      <c r="H209" s="53"/>
      <c r="J209" s="53"/>
      <c r="K209" s="53"/>
      <c r="L209" s="53"/>
      <c r="M209" s="53"/>
      <c r="N209" s="53"/>
      <c r="O209" s="53"/>
      <c r="P209" s="53"/>
      <c r="Q209" s="53"/>
      <c r="R209" s="53"/>
      <c r="S209" s="53"/>
      <c r="T209" s="53"/>
      <c r="U209" s="53"/>
      <c r="V209" s="53"/>
      <c r="W209" s="53"/>
      <c r="X209" s="53"/>
      <c r="Y209" s="53"/>
    </row>
    <row r="210" spans="5:43" x14ac:dyDescent="0.35">
      <c r="E210" t="s">
        <v>535</v>
      </c>
      <c r="G210" t="s">
        <v>167</v>
      </c>
      <c r="H210" s="161">
        <f>SUM(J206:Y206) / SUM(J208:Y208) - 1</f>
        <v>1.0694235150633253</v>
      </c>
      <c r="J210" s="53"/>
      <c r="K210" s="53"/>
      <c r="L210" s="53"/>
      <c r="M210" s="53"/>
      <c r="N210" s="53"/>
      <c r="O210" s="53"/>
      <c r="P210" s="53"/>
      <c r="Q210" s="53"/>
      <c r="R210" s="53"/>
      <c r="S210" s="53"/>
      <c r="T210" s="53"/>
      <c r="U210" s="53"/>
      <c r="V210" s="53"/>
      <c r="W210" s="53"/>
      <c r="X210" s="53"/>
      <c r="Y210" s="53"/>
    </row>
    <row r="211" spans="5:43" x14ac:dyDescent="0.35">
      <c r="H211" s="156"/>
    </row>
    <row r="212" spans="5:43" x14ac:dyDescent="0.35">
      <c r="E212" s="27" t="s">
        <v>389</v>
      </c>
      <c r="J212" s="53"/>
      <c r="L212" s="53"/>
      <c r="AA212" t="s">
        <v>529</v>
      </c>
      <c r="AQ212" s="3"/>
    </row>
    <row r="213" spans="5:43" x14ac:dyDescent="0.35">
      <c r="E213" s="24" t="s">
        <v>536</v>
      </c>
      <c r="F213" s="24"/>
      <c r="J213" s="53"/>
      <c r="L213" s="53"/>
      <c r="AQ213" s="3"/>
    </row>
    <row r="214" spans="5:43" x14ac:dyDescent="0.35">
      <c r="E214" s="27"/>
      <c r="F214" s="19" t="s">
        <v>191</v>
      </c>
      <c r="G214" s="19" t="s">
        <v>167</v>
      </c>
      <c r="H214" s="97">
        <f t="array" ref="H214:H222">TRANSPOSE('Load &amp; loss characteristics'!K23:S23)</f>
        <v>4.4943759092979985E-2</v>
      </c>
      <c r="J214" s="53"/>
      <c r="K214" s="74"/>
      <c r="L214" s="53"/>
      <c r="M214" s="74"/>
      <c r="AQ214" s="3"/>
    </row>
    <row r="215" spans="5:43" x14ac:dyDescent="0.35">
      <c r="E215" s="27"/>
      <c r="F215" t="s">
        <v>192</v>
      </c>
      <c r="G215" t="s">
        <v>167</v>
      </c>
      <c r="H215" s="21">
        <v>7.6876214739846072E-2</v>
      </c>
      <c r="J215" s="53"/>
      <c r="L215" s="53"/>
      <c r="AQ215" s="3"/>
    </row>
    <row r="216" spans="5:43" x14ac:dyDescent="0.35">
      <c r="E216" s="27"/>
      <c r="F216" t="s">
        <v>193</v>
      </c>
      <c r="G216" t="s">
        <v>167</v>
      </c>
      <c r="H216" s="21">
        <v>7.6876214739846072E-2</v>
      </c>
      <c r="J216" s="53"/>
      <c r="L216" s="53"/>
      <c r="AQ216" s="3"/>
    </row>
    <row r="217" spans="5:43" x14ac:dyDescent="0.35">
      <c r="E217" s="27"/>
      <c r="F217" t="s">
        <v>194</v>
      </c>
      <c r="G217" t="s">
        <v>167</v>
      </c>
      <c r="H217" s="21">
        <v>0.15995031141032889</v>
      </c>
      <c r="J217" s="53"/>
      <c r="L217" s="53"/>
      <c r="AQ217" s="3"/>
    </row>
    <row r="218" spans="5:43" x14ac:dyDescent="0.35">
      <c r="E218" s="27"/>
      <c r="F218" t="s">
        <v>195</v>
      </c>
      <c r="G218" t="s">
        <v>167</v>
      </c>
      <c r="H218" s="21">
        <v>0.15995031141032889</v>
      </c>
      <c r="J218" s="53"/>
      <c r="L218" s="53"/>
      <c r="AQ218" s="3"/>
    </row>
    <row r="219" spans="5:43" x14ac:dyDescent="0.35">
      <c r="E219" s="27"/>
      <c r="F219" t="s">
        <v>196</v>
      </c>
      <c r="G219" t="s">
        <v>167</v>
      </c>
      <c r="H219" s="21">
        <v>7.6876214739846072E-2</v>
      </c>
      <c r="J219" s="53"/>
      <c r="L219" s="53"/>
      <c r="AQ219" s="3"/>
    </row>
    <row r="220" spans="5:43" x14ac:dyDescent="0.35">
      <c r="E220" s="27"/>
      <c r="F220" t="s">
        <v>197</v>
      </c>
      <c r="G220" t="s">
        <v>167</v>
      </c>
      <c r="H220" s="21">
        <v>0.58913192663215064</v>
      </c>
      <c r="J220" s="53"/>
      <c r="L220" s="53"/>
      <c r="AQ220" s="3"/>
    </row>
    <row r="221" spans="5:43" x14ac:dyDescent="0.35">
      <c r="E221" s="27"/>
      <c r="F221" t="s">
        <v>198</v>
      </c>
      <c r="G221" t="s">
        <v>167</v>
      </c>
      <c r="H221" s="21">
        <v>0.58913192663215064</v>
      </c>
      <c r="J221" s="53"/>
      <c r="L221" s="53"/>
      <c r="AQ221" s="3"/>
    </row>
    <row r="222" spans="5:43" x14ac:dyDescent="0.35">
      <c r="E222" s="27"/>
      <c r="F222" s="28" t="s">
        <v>199</v>
      </c>
      <c r="G222" s="28" t="s">
        <v>167</v>
      </c>
      <c r="H222" s="131">
        <v>0.58913192663215064</v>
      </c>
      <c r="J222" s="53"/>
      <c r="L222" s="53"/>
      <c r="AQ222" s="3"/>
    </row>
    <row r="223" spans="5:43" x14ac:dyDescent="0.35">
      <c r="H223" s="156"/>
    </row>
    <row r="224" spans="5:43" x14ac:dyDescent="0.35">
      <c r="E224" s="27" t="s">
        <v>537</v>
      </c>
      <c r="J224" s="53"/>
      <c r="L224" s="53"/>
      <c r="AA224" t="s">
        <v>529</v>
      </c>
      <c r="AQ224" s="3"/>
    </row>
    <row r="225" spans="3:43" x14ac:dyDescent="0.35">
      <c r="E225" s="24" t="s">
        <v>538</v>
      </c>
      <c r="F225" s="24"/>
      <c r="J225" s="53"/>
      <c r="L225" s="53"/>
      <c r="AQ225" s="3"/>
    </row>
    <row r="226" spans="3:43" x14ac:dyDescent="0.35">
      <c r="C226" s="27"/>
      <c r="F226" s="19" t="s">
        <v>191</v>
      </c>
      <c r="G226" s="19" t="s">
        <v>167</v>
      </c>
      <c r="H226" s="162">
        <f t="shared" ref="H226:H233" si="55">IF(F226 = $F$234, $H$210, H214)</f>
        <v>4.4943759092979985E-2</v>
      </c>
      <c r="J226" s="53"/>
      <c r="L226" s="53"/>
      <c r="AQ226" s="3"/>
    </row>
    <row r="227" spans="3:43" x14ac:dyDescent="0.35">
      <c r="C227" s="27"/>
      <c r="F227" t="s">
        <v>192</v>
      </c>
      <c r="G227" t="s">
        <v>167</v>
      </c>
      <c r="H227" s="101">
        <f t="shared" si="55"/>
        <v>7.6876214739846072E-2</v>
      </c>
      <c r="J227" s="53"/>
      <c r="L227" s="53"/>
      <c r="AQ227" s="3"/>
    </row>
    <row r="228" spans="3:43" x14ac:dyDescent="0.35">
      <c r="C228" s="27"/>
      <c r="F228" t="s">
        <v>193</v>
      </c>
      <c r="G228" t="s">
        <v>167</v>
      </c>
      <c r="H228" s="101">
        <f t="shared" si="55"/>
        <v>7.6876214739846072E-2</v>
      </c>
      <c r="J228" s="53"/>
      <c r="L228" s="53"/>
      <c r="AQ228" s="3"/>
    </row>
    <row r="229" spans="3:43" x14ac:dyDescent="0.35">
      <c r="C229" s="27"/>
      <c r="F229" t="s">
        <v>194</v>
      </c>
      <c r="G229" t="s">
        <v>167</v>
      </c>
      <c r="H229" s="101">
        <f t="shared" si="55"/>
        <v>0.15995031141032889</v>
      </c>
      <c r="J229" s="53"/>
      <c r="L229" s="53"/>
      <c r="AQ229" s="3"/>
    </row>
    <row r="230" spans="3:43" x14ac:dyDescent="0.35">
      <c r="C230" s="27"/>
      <c r="F230" t="s">
        <v>195</v>
      </c>
      <c r="G230" t="s">
        <v>167</v>
      </c>
      <c r="H230" s="101">
        <f t="shared" si="55"/>
        <v>0.15995031141032889</v>
      </c>
      <c r="J230" s="53"/>
      <c r="L230" s="53"/>
      <c r="AQ230" s="3"/>
    </row>
    <row r="231" spans="3:43" x14ac:dyDescent="0.35">
      <c r="C231" s="27"/>
      <c r="F231" t="s">
        <v>196</v>
      </c>
      <c r="G231" t="s">
        <v>167</v>
      </c>
      <c r="H231" s="101">
        <f t="shared" si="55"/>
        <v>7.6876214739846072E-2</v>
      </c>
      <c r="J231" s="53"/>
      <c r="L231" s="53"/>
      <c r="AQ231" s="3"/>
    </row>
    <row r="232" spans="3:43" x14ac:dyDescent="0.35">
      <c r="C232" s="27"/>
      <c r="F232" t="s">
        <v>197</v>
      </c>
      <c r="G232" t="s">
        <v>167</v>
      </c>
      <c r="H232" s="101">
        <f t="shared" si="55"/>
        <v>0.58913192663215064</v>
      </c>
      <c r="J232" s="53"/>
      <c r="L232" s="53"/>
      <c r="AQ232" s="3"/>
    </row>
    <row r="233" spans="3:43" x14ac:dyDescent="0.35">
      <c r="C233" s="27"/>
      <c r="F233" t="s">
        <v>198</v>
      </c>
      <c r="G233" t="s">
        <v>167</v>
      </c>
      <c r="H233" s="101">
        <f t="shared" si="55"/>
        <v>0.58913192663215064</v>
      </c>
      <c r="J233" s="53"/>
      <c r="L233" s="53"/>
      <c r="AQ233" s="3"/>
    </row>
    <row r="234" spans="3:43" x14ac:dyDescent="0.35">
      <c r="C234" s="27"/>
      <c r="F234" s="28" t="s">
        <v>199</v>
      </c>
      <c r="G234" s="28" t="s">
        <v>167</v>
      </c>
      <c r="H234" s="133">
        <f>IF(F234 = $F$234, $H$210, H222)</f>
        <v>1.0694235150633253</v>
      </c>
      <c r="J234" s="53"/>
      <c r="L234" s="53"/>
      <c r="AQ234" s="3"/>
    </row>
    <row r="235" spans="3:43" x14ac:dyDescent="0.35">
      <c r="H235" s="156"/>
    </row>
    <row r="236" spans="3:43" x14ac:dyDescent="0.35">
      <c r="C236" s="26" t="str">
        <f ca="1">INDEX('Version control'!$H$38:$H$61,MATCH($A$1,'Version control'!$F$38:$F$61,0),1)&amp;"-G: Import/exceeded capacity contribution to system peak"</f>
        <v>Section 106-G: Import/exceeded capacity contribution to system peak</v>
      </c>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Q236" s="3"/>
    </row>
    <row r="237" spans="3:43" x14ac:dyDescent="0.35">
      <c r="H237" s="156"/>
    </row>
    <row r="238" spans="3:43" x14ac:dyDescent="0.35">
      <c r="E238" s="27" t="s">
        <v>539</v>
      </c>
      <c r="F238" s="24"/>
      <c r="H238" s="163"/>
    </row>
    <row r="239" spans="3:43" x14ac:dyDescent="0.35">
      <c r="C239" s="27"/>
      <c r="F239" s="19" t="s">
        <v>191</v>
      </c>
      <c r="G239" s="19" t="s">
        <v>172</v>
      </c>
      <c r="H239" s="119"/>
      <c r="I239" s="19"/>
      <c r="J239" s="148">
        <f t="shared" ref="J239:Y239" si="56">J$192 * J23 * J34 / (1 + $H226) / $H45</f>
        <v>0</v>
      </c>
      <c r="K239" s="148">
        <f t="shared" si="56"/>
        <v>0</v>
      </c>
      <c r="L239" s="148">
        <f t="shared" si="56"/>
        <v>0</v>
      </c>
      <c r="M239" s="148">
        <f t="shared" si="56"/>
        <v>0</v>
      </c>
      <c r="N239" s="148">
        <f t="shared" si="56"/>
        <v>0</v>
      </c>
      <c r="O239" s="148">
        <f t="shared" si="56"/>
        <v>0</v>
      </c>
      <c r="P239" s="148">
        <f t="shared" si="56"/>
        <v>0</v>
      </c>
      <c r="Q239" s="148">
        <f t="shared" si="56"/>
        <v>0</v>
      </c>
      <c r="R239" s="148">
        <f t="shared" si="56"/>
        <v>0</v>
      </c>
      <c r="S239" s="148">
        <f t="shared" si="56"/>
        <v>0</v>
      </c>
      <c r="T239" s="148">
        <f t="shared" si="56"/>
        <v>0</v>
      </c>
      <c r="U239" s="148">
        <f t="shared" si="56"/>
        <v>0</v>
      </c>
      <c r="V239" s="148">
        <f t="shared" si="56"/>
        <v>0</v>
      </c>
      <c r="W239" s="148">
        <f t="shared" si="56"/>
        <v>0</v>
      </c>
      <c r="X239" s="148">
        <f t="shared" si="56"/>
        <v>0</v>
      </c>
      <c r="Y239" s="148">
        <f t="shared" si="56"/>
        <v>0</v>
      </c>
      <c r="AQ239" s="3"/>
    </row>
    <row r="240" spans="3:43" x14ac:dyDescent="0.35">
      <c r="C240" s="27"/>
      <c r="F240" t="s">
        <v>192</v>
      </c>
      <c r="G240" t="s">
        <v>172</v>
      </c>
      <c r="H240" s="53"/>
      <c r="J240" s="79">
        <f t="shared" ref="J240:Y240" si="57">J$192 * J24 * J35 / (1 + $H227) / $H46</f>
        <v>0</v>
      </c>
      <c r="K240" s="79">
        <f t="shared" si="57"/>
        <v>0</v>
      </c>
      <c r="L240" s="79">
        <f t="shared" si="57"/>
        <v>0</v>
      </c>
      <c r="M240" s="79">
        <f t="shared" si="57"/>
        <v>0</v>
      </c>
      <c r="N240" s="79">
        <f t="shared" si="57"/>
        <v>0</v>
      </c>
      <c r="O240" s="79">
        <f t="shared" si="57"/>
        <v>0</v>
      </c>
      <c r="P240" s="79">
        <f t="shared" si="57"/>
        <v>0</v>
      </c>
      <c r="Q240" s="79">
        <f t="shared" si="57"/>
        <v>0</v>
      </c>
      <c r="R240" s="79">
        <f t="shared" si="57"/>
        <v>0</v>
      </c>
      <c r="S240" s="79">
        <f t="shared" si="57"/>
        <v>0</v>
      </c>
      <c r="T240" s="79">
        <f t="shared" si="57"/>
        <v>0</v>
      </c>
      <c r="U240" s="79">
        <f t="shared" si="57"/>
        <v>0</v>
      </c>
      <c r="V240" s="79">
        <f t="shared" si="57"/>
        <v>0</v>
      </c>
      <c r="W240" s="79">
        <f t="shared" si="57"/>
        <v>0</v>
      </c>
      <c r="X240" s="79">
        <f t="shared" si="57"/>
        <v>0</v>
      </c>
      <c r="Y240" s="79">
        <f t="shared" si="57"/>
        <v>0</v>
      </c>
      <c r="AQ240" s="3"/>
    </row>
    <row r="241" spans="3:43" x14ac:dyDescent="0.35">
      <c r="C241" s="27"/>
      <c r="F241" t="s">
        <v>193</v>
      </c>
      <c r="G241" t="s">
        <v>172</v>
      </c>
      <c r="H241" s="53"/>
      <c r="J241" s="79">
        <f t="shared" ref="J241:Y241" si="58">J$192 * J25 * J36 / (1 + $H228) / $H47</f>
        <v>0</v>
      </c>
      <c r="K241" s="79">
        <f t="shared" si="58"/>
        <v>0</v>
      </c>
      <c r="L241" s="79">
        <f t="shared" si="58"/>
        <v>0</v>
      </c>
      <c r="M241" s="79">
        <f t="shared" si="58"/>
        <v>0</v>
      </c>
      <c r="N241" s="79">
        <f t="shared" si="58"/>
        <v>0</v>
      </c>
      <c r="O241" s="79">
        <f t="shared" si="58"/>
        <v>0</v>
      </c>
      <c r="P241" s="79">
        <f t="shared" si="58"/>
        <v>0</v>
      </c>
      <c r="Q241" s="79">
        <f t="shared" si="58"/>
        <v>0</v>
      </c>
      <c r="R241" s="79">
        <f t="shared" si="58"/>
        <v>0</v>
      </c>
      <c r="S241" s="79">
        <f t="shared" si="58"/>
        <v>0</v>
      </c>
      <c r="T241" s="79">
        <f t="shared" si="58"/>
        <v>0</v>
      </c>
      <c r="U241" s="79">
        <f t="shared" si="58"/>
        <v>0</v>
      </c>
      <c r="V241" s="79">
        <f t="shared" si="58"/>
        <v>0</v>
      </c>
      <c r="W241" s="79">
        <f t="shared" si="58"/>
        <v>0</v>
      </c>
      <c r="X241" s="79">
        <f t="shared" si="58"/>
        <v>0</v>
      </c>
      <c r="Y241" s="79">
        <f t="shared" si="58"/>
        <v>0</v>
      </c>
      <c r="AQ241" s="3"/>
    </row>
    <row r="242" spans="3:43" x14ac:dyDescent="0.35">
      <c r="C242" s="27"/>
      <c r="F242" t="s">
        <v>194</v>
      </c>
      <c r="G242" t="s">
        <v>172</v>
      </c>
      <c r="H242" s="53"/>
      <c r="J242" s="79">
        <f t="shared" ref="J242:Y242" si="59">J$192 * J26 * J37 / (1 + $H229) / $H48</f>
        <v>0</v>
      </c>
      <c r="K242" s="79">
        <f t="shared" si="59"/>
        <v>0</v>
      </c>
      <c r="L242" s="79">
        <f t="shared" si="59"/>
        <v>0</v>
      </c>
      <c r="M242" s="79">
        <f t="shared" si="59"/>
        <v>0</v>
      </c>
      <c r="N242" s="79">
        <f t="shared" si="59"/>
        <v>0</v>
      </c>
      <c r="O242" s="79">
        <f t="shared" si="59"/>
        <v>0</v>
      </c>
      <c r="P242" s="79">
        <f t="shared" si="59"/>
        <v>335.00079049767629</v>
      </c>
      <c r="Q242" s="79">
        <f t="shared" si="59"/>
        <v>0</v>
      </c>
      <c r="R242" s="79">
        <f t="shared" si="59"/>
        <v>0</v>
      </c>
      <c r="S242" s="79">
        <f t="shared" si="59"/>
        <v>0</v>
      </c>
      <c r="T242" s="79">
        <f t="shared" si="59"/>
        <v>0</v>
      </c>
      <c r="U242" s="79">
        <f t="shared" si="59"/>
        <v>0</v>
      </c>
      <c r="V242" s="79">
        <f t="shared" si="59"/>
        <v>0</v>
      </c>
      <c r="W242" s="79">
        <f t="shared" si="59"/>
        <v>0</v>
      </c>
      <c r="X242" s="79">
        <f t="shared" si="59"/>
        <v>0</v>
      </c>
      <c r="Y242" s="79">
        <f t="shared" si="59"/>
        <v>0</v>
      </c>
      <c r="AQ242" s="3"/>
    </row>
    <row r="243" spans="3:43" x14ac:dyDescent="0.35">
      <c r="C243" s="27"/>
      <c r="F243" t="s">
        <v>195</v>
      </c>
      <c r="G243" t="s">
        <v>172</v>
      </c>
      <c r="H243" s="53"/>
      <c r="J243" s="79">
        <f t="shared" ref="J243:Y243" si="60">J$192 * J27 * J38 / (1 + $H230) / $H49</f>
        <v>0</v>
      </c>
      <c r="K243" s="79">
        <f t="shared" si="60"/>
        <v>0</v>
      </c>
      <c r="L243" s="79">
        <f t="shared" si="60"/>
        <v>0</v>
      </c>
      <c r="M243" s="79">
        <f t="shared" si="60"/>
        <v>0</v>
      </c>
      <c r="N243" s="79">
        <f t="shared" si="60"/>
        <v>0</v>
      </c>
      <c r="O243" s="79">
        <f t="shared" si="60"/>
        <v>0</v>
      </c>
      <c r="P243" s="79">
        <f t="shared" si="60"/>
        <v>1666.7770175547446</v>
      </c>
      <c r="Q243" s="79">
        <f t="shared" si="60"/>
        <v>0</v>
      </c>
      <c r="R243" s="79">
        <f t="shared" si="60"/>
        <v>0</v>
      </c>
      <c r="S243" s="79">
        <f t="shared" si="60"/>
        <v>0</v>
      </c>
      <c r="T243" s="79">
        <f t="shared" si="60"/>
        <v>0</v>
      </c>
      <c r="U243" s="79">
        <f t="shared" si="60"/>
        <v>0</v>
      </c>
      <c r="V243" s="79">
        <f t="shared" si="60"/>
        <v>0</v>
      </c>
      <c r="W243" s="79">
        <f t="shared" si="60"/>
        <v>0</v>
      </c>
      <c r="X243" s="79">
        <f t="shared" si="60"/>
        <v>0</v>
      </c>
      <c r="Y243" s="79">
        <f t="shared" si="60"/>
        <v>0</v>
      </c>
      <c r="AQ243" s="3"/>
    </row>
    <row r="244" spans="3:43" x14ac:dyDescent="0.35">
      <c r="C244" s="27"/>
      <c r="F244" t="s">
        <v>196</v>
      </c>
      <c r="G244" t="s">
        <v>172</v>
      </c>
      <c r="H244" s="53"/>
      <c r="J244" s="79">
        <f t="shared" ref="J244:Y244" si="61">J$192 * J28 * J39 / (1 + $H231) / $H50</f>
        <v>0</v>
      </c>
      <c r="K244" s="79">
        <f t="shared" si="61"/>
        <v>0</v>
      </c>
      <c r="L244" s="79">
        <f t="shared" si="61"/>
        <v>0</v>
      </c>
      <c r="M244" s="79">
        <f t="shared" si="61"/>
        <v>0</v>
      </c>
      <c r="N244" s="79">
        <f t="shared" si="61"/>
        <v>0</v>
      </c>
      <c r="O244" s="79">
        <f t="shared" si="61"/>
        <v>0</v>
      </c>
      <c r="P244" s="79">
        <f t="shared" si="61"/>
        <v>0</v>
      </c>
      <c r="Q244" s="79">
        <f t="shared" si="61"/>
        <v>0</v>
      </c>
      <c r="R244" s="79">
        <f t="shared" si="61"/>
        <v>0</v>
      </c>
      <c r="S244" s="79">
        <f t="shared" si="61"/>
        <v>0</v>
      </c>
      <c r="T244" s="79">
        <f t="shared" si="61"/>
        <v>0</v>
      </c>
      <c r="U244" s="79">
        <f t="shared" si="61"/>
        <v>0</v>
      </c>
      <c r="V244" s="79">
        <f t="shared" si="61"/>
        <v>0</v>
      </c>
      <c r="W244" s="79">
        <f t="shared" si="61"/>
        <v>0</v>
      </c>
      <c r="X244" s="79">
        <f t="shared" si="61"/>
        <v>0</v>
      </c>
      <c r="Y244" s="79">
        <f t="shared" si="61"/>
        <v>0</v>
      </c>
      <c r="AQ244" s="3"/>
    </row>
    <row r="245" spans="3:43" x14ac:dyDescent="0.35">
      <c r="C245" s="27"/>
      <c r="F245" t="s">
        <v>197</v>
      </c>
      <c r="G245" t="s">
        <v>172</v>
      </c>
      <c r="H245" s="53"/>
      <c r="J245" s="79">
        <f t="shared" ref="J245:Y245" si="62">J$192 * J29 * J40 / (1 + $H232) / $H51</f>
        <v>0</v>
      </c>
      <c r="K245" s="79">
        <f t="shared" si="62"/>
        <v>0</v>
      </c>
      <c r="L245" s="79">
        <f t="shared" si="62"/>
        <v>0</v>
      </c>
      <c r="M245" s="79">
        <f t="shared" si="62"/>
        <v>0</v>
      </c>
      <c r="N245" s="79">
        <f t="shared" si="62"/>
        <v>457.43859945819167</v>
      </c>
      <c r="O245" s="79">
        <f t="shared" si="62"/>
        <v>96.693994739655977</v>
      </c>
      <c r="P245" s="79">
        <f t="shared" si="62"/>
        <v>1205.9637978029198</v>
      </c>
      <c r="Q245" s="79">
        <f t="shared" si="62"/>
        <v>0</v>
      </c>
      <c r="R245" s="79">
        <f t="shared" si="62"/>
        <v>0</v>
      </c>
      <c r="S245" s="79">
        <f t="shared" si="62"/>
        <v>0</v>
      </c>
      <c r="T245" s="79">
        <f t="shared" si="62"/>
        <v>0</v>
      </c>
      <c r="U245" s="79">
        <f t="shared" si="62"/>
        <v>0</v>
      </c>
      <c r="V245" s="79">
        <f t="shared" si="62"/>
        <v>0</v>
      </c>
      <c r="W245" s="79">
        <f t="shared" si="62"/>
        <v>0</v>
      </c>
      <c r="X245" s="79">
        <f t="shared" si="62"/>
        <v>0</v>
      </c>
      <c r="Y245" s="79">
        <f t="shared" si="62"/>
        <v>0</v>
      </c>
      <c r="AQ245" s="3"/>
    </row>
    <row r="246" spans="3:43" x14ac:dyDescent="0.35">
      <c r="C246" s="27"/>
      <c r="F246" t="s">
        <v>198</v>
      </c>
      <c r="G246" t="s">
        <v>172</v>
      </c>
      <c r="H246" s="53"/>
      <c r="J246" s="79">
        <f t="shared" ref="J246:Y246" si="63">J$192 * J30 * J41 / (1 + $H233) / $H52</f>
        <v>0</v>
      </c>
      <c r="K246" s="79">
        <f t="shared" si="63"/>
        <v>0</v>
      </c>
      <c r="L246" s="79">
        <f t="shared" si="63"/>
        <v>0</v>
      </c>
      <c r="M246" s="79">
        <f t="shared" si="63"/>
        <v>0</v>
      </c>
      <c r="N246" s="79">
        <f t="shared" si="63"/>
        <v>2252.1066234111354</v>
      </c>
      <c r="O246" s="79">
        <f t="shared" si="63"/>
        <v>95.210673631473341</v>
      </c>
      <c r="P246" s="79">
        <f t="shared" si="63"/>
        <v>0</v>
      </c>
      <c r="Q246" s="79">
        <f t="shared" si="63"/>
        <v>0</v>
      </c>
      <c r="R246" s="79">
        <f t="shared" si="63"/>
        <v>0</v>
      </c>
      <c r="S246" s="79">
        <f t="shared" si="63"/>
        <v>0</v>
      </c>
      <c r="T246" s="79">
        <f t="shared" si="63"/>
        <v>0</v>
      </c>
      <c r="U246" s="79">
        <f t="shared" si="63"/>
        <v>0</v>
      </c>
      <c r="V246" s="79">
        <f t="shared" si="63"/>
        <v>0</v>
      </c>
      <c r="W246" s="79">
        <f t="shared" si="63"/>
        <v>0</v>
      </c>
      <c r="X246" s="79">
        <f t="shared" si="63"/>
        <v>0</v>
      </c>
      <c r="Y246" s="79">
        <f t="shared" si="63"/>
        <v>0</v>
      </c>
      <c r="AQ246" s="3"/>
    </row>
    <row r="247" spans="3:43" x14ac:dyDescent="0.35">
      <c r="C247" s="27"/>
      <c r="F247" s="28" t="s">
        <v>199</v>
      </c>
      <c r="G247" s="28" t="s">
        <v>172</v>
      </c>
      <c r="H247" s="120"/>
      <c r="I247" s="28"/>
      <c r="J247" s="72">
        <f t="shared" ref="J247:Y247" si="64">J$192 * J31 * J42 / (1 + $H234) / $H53</f>
        <v>0</v>
      </c>
      <c r="K247" s="72">
        <f t="shared" si="64"/>
        <v>0</v>
      </c>
      <c r="L247" s="72">
        <f t="shared" si="64"/>
        <v>0</v>
      </c>
      <c r="M247" s="72">
        <f t="shared" si="64"/>
        <v>0</v>
      </c>
      <c r="N247" s="72">
        <f t="shared" si="64"/>
        <v>1654.8450362006461</v>
      </c>
      <c r="O247" s="72">
        <f t="shared" si="64"/>
        <v>0</v>
      </c>
      <c r="P247" s="72">
        <f t="shared" si="64"/>
        <v>0</v>
      </c>
      <c r="Q247" s="72">
        <f t="shared" si="64"/>
        <v>0</v>
      </c>
      <c r="R247" s="72">
        <f t="shared" si="64"/>
        <v>0</v>
      </c>
      <c r="S247" s="72">
        <f t="shared" si="64"/>
        <v>0</v>
      </c>
      <c r="T247" s="72">
        <f t="shared" si="64"/>
        <v>0</v>
      </c>
      <c r="U247" s="72">
        <f t="shared" si="64"/>
        <v>0</v>
      </c>
      <c r="V247" s="72">
        <f t="shared" si="64"/>
        <v>0</v>
      </c>
      <c r="W247" s="72">
        <f t="shared" si="64"/>
        <v>0</v>
      </c>
      <c r="X247" s="72">
        <f t="shared" si="64"/>
        <v>0</v>
      </c>
      <c r="Y247" s="72">
        <f t="shared" si="64"/>
        <v>0</v>
      </c>
      <c r="AQ247" s="3"/>
    </row>
    <row r="248" spans="3:43" x14ac:dyDescent="0.35">
      <c r="H248" s="156"/>
      <c r="J248" s="79"/>
      <c r="K248" s="79"/>
      <c r="L248" s="79"/>
      <c r="M248" s="79"/>
      <c r="N248" s="79"/>
      <c r="O248" s="79"/>
      <c r="P248" s="79"/>
      <c r="Q248" s="79"/>
      <c r="R248" s="79"/>
      <c r="S248" s="79"/>
      <c r="T248" s="79"/>
      <c r="U248" s="79"/>
      <c r="V248" s="79"/>
      <c r="W248" s="79"/>
      <c r="X248" s="79"/>
      <c r="Y248" s="79"/>
    </row>
    <row r="249" spans="3:43" x14ac:dyDescent="0.35">
      <c r="C249" s="26" t="str">
        <f ca="1">INDEX('Version control'!$H$38:$H$61,MATCH($A$1,'Version control'!$F$38:$F$61,0),1)&amp;"-H: Estimated capacity contribution to system peak"</f>
        <v>Section 106-H: Estimated capacity contribution to system peak</v>
      </c>
      <c r="D249" s="26"/>
      <c r="E249" s="26"/>
      <c r="F249" s="26"/>
      <c r="G249" s="26"/>
      <c r="H249" s="26"/>
      <c r="I249" s="26"/>
      <c r="J249" s="80"/>
      <c r="K249" s="80"/>
      <c r="L249" s="80"/>
      <c r="M249" s="80"/>
      <c r="N249" s="80"/>
      <c r="O249" s="80"/>
      <c r="P249" s="80"/>
      <c r="Q249" s="80"/>
      <c r="R249" s="80"/>
      <c r="S249" s="80"/>
      <c r="T249" s="80"/>
      <c r="U249" s="80"/>
      <c r="V249" s="80"/>
      <c r="W249" s="80"/>
      <c r="X249" s="80"/>
      <c r="Y249" s="80"/>
      <c r="Z249" s="26"/>
      <c r="AA249" s="26"/>
      <c r="AQ249" s="3"/>
    </row>
    <row r="250" spans="3:43" x14ac:dyDescent="0.35">
      <c r="H250" s="156"/>
      <c r="J250" s="79"/>
      <c r="K250" s="79"/>
      <c r="L250" s="79"/>
      <c r="M250" s="79"/>
      <c r="N250" s="79"/>
      <c r="O250" s="79"/>
      <c r="P250" s="79"/>
      <c r="Q250" s="79"/>
      <c r="R250" s="79"/>
      <c r="S250" s="79"/>
      <c r="T250" s="79"/>
      <c r="U250" s="79"/>
      <c r="V250" s="79"/>
      <c r="W250" s="79"/>
      <c r="X250" s="79"/>
      <c r="Y250" s="79"/>
    </row>
    <row r="251" spans="3:43" x14ac:dyDescent="0.35">
      <c r="E251" s="27" t="s">
        <v>540</v>
      </c>
      <c r="F251" s="24"/>
      <c r="H251" s="156"/>
      <c r="J251" s="79"/>
      <c r="K251" s="79"/>
      <c r="L251" s="79"/>
      <c r="M251" s="79"/>
      <c r="N251" s="79"/>
      <c r="O251" s="79"/>
      <c r="P251" s="79"/>
      <c r="Q251" s="79"/>
      <c r="R251" s="79"/>
      <c r="S251" s="79"/>
      <c r="T251" s="79"/>
      <c r="U251" s="79"/>
      <c r="V251" s="79"/>
      <c r="W251" s="79"/>
      <c r="X251" s="79"/>
      <c r="Y251" s="79"/>
    </row>
    <row r="252" spans="3:43" x14ac:dyDescent="0.35">
      <c r="C252" s="27"/>
      <c r="F252" s="19" t="s">
        <v>191</v>
      </c>
      <c r="G252" s="119" t="s">
        <v>172</v>
      </c>
      <c r="H252" s="119"/>
      <c r="I252" s="19"/>
      <c r="J252" s="148">
        <f t="shared" ref="J252:Y252" si="65">IF(AND(J$192 = 0, J$198), J$200 * J23 * J34 / (1 + $H226) / $H45, 0)</f>
        <v>0</v>
      </c>
      <c r="K252" s="148">
        <f t="shared" si="65"/>
        <v>0</v>
      </c>
      <c r="L252" s="148">
        <f t="shared" si="65"/>
        <v>0</v>
      </c>
      <c r="M252" s="148">
        <f t="shared" si="65"/>
        <v>0</v>
      </c>
      <c r="N252" s="148">
        <f t="shared" si="65"/>
        <v>0</v>
      </c>
      <c r="O252" s="148">
        <f t="shared" si="65"/>
        <v>0</v>
      </c>
      <c r="P252" s="148">
        <f t="shared" si="65"/>
        <v>0</v>
      </c>
      <c r="Q252" s="148">
        <f t="shared" si="65"/>
        <v>0</v>
      </c>
      <c r="R252" s="148">
        <f t="shared" si="65"/>
        <v>0</v>
      </c>
      <c r="S252" s="148">
        <f t="shared" si="65"/>
        <v>0</v>
      </c>
      <c r="T252" s="148">
        <f t="shared" si="65"/>
        <v>0</v>
      </c>
      <c r="U252" s="148">
        <f t="shared" si="65"/>
        <v>0</v>
      </c>
      <c r="V252" s="148">
        <f t="shared" si="65"/>
        <v>0</v>
      </c>
      <c r="W252" s="148">
        <f t="shared" si="65"/>
        <v>0</v>
      </c>
      <c r="X252" s="148">
        <f t="shared" si="65"/>
        <v>0</v>
      </c>
      <c r="Y252" s="148">
        <f t="shared" si="65"/>
        <v>0</v>
      </c>
      <c r="AQ252" s="3"/>
    </row>
    <row r="253" spans="3:43" x14ac:dyDescent="0.35">
      <c r="C253" s="27"/>
      <c r="F253" t="s">
        <v>192</v>
      </c>
      <c r="G253" s="53" t="s">
        <v>172</v>
      </c>
      <c r="H253" s="53"/>
      <c r="J253" s="79">
        <f t="shared" ref="J253:Y253" si="66">IF(AND(J$192 = 0, J$198), J$200 * J24 * J35 / (1 + $H227) / $H46, 0)</f>
        <v>0</v>
      </c>
      <c r="K253" s="79">
        <f t="shared" si="66"/>
        <v>0</v>
      </c>
      <c r="L253" s="79">
        <f t="shared" si="66"/>
        <v>0</v>
      </c>
      <c r="M253" s="79">
        <f t="shared" si="66"/>
        <v>0</v>
      </c>
      <c r="N253" s="79">
        <f t="shared" si="66"/>
        <v>0</v>
      </c>
      <c r="O253" s="79">
        <f t="shared" si="66"/>
        <v>0</v>
      </c>
      <c r="P253" s="79">
        <f t="shared" si="66"/>
        <v>0</v>
      </c>
      <c r="Q253" s="79">
        <f t="shared" si="66"/>
        <v>0</v>
      </c>
      <c r="R253" s="79">
        <f t="shared" si="66"/>
        <v>0</v>
      </c>
      <c r="S253" s="79">
        <f t="shared" si="66"/>
        <v>0</v>
      </c>
      <c r="T253" s="79">
        <f t="shared" si="66"/>
        <v>0</v>
      </c>
      <c r="U253" s="79">
        <f t="shared" si="66"/>
        <v>0</v>
      </c>
      <c r="V253" s="79">
        <f t="shared" si="66"/>
        <v>0</v>
      </c>
      <c r="W253" s="79">
        <f t="shared" si="66"/>
        <v>0</v>
      </c>
      <c r="X253" s="79">
        <f t="shared" si="66"/>
        <v>0</v>
      </c>
      <c r="Y253" s="79">
        <f t="shared" si="66"/>
        <v>0</v>
      </c>
      <c r="AQ253" s="3"/>
    </row>
    <row r="254" spans="3:43" x14ac:dyDescent="0.35">
      <c r="C254" s="27"/>
      <c r="F254" t="s">
        <v>193</v>
      </c>
      <c r="G254" s="53" t="s">
        <v>172</v>
      </c>
      <c r="H254" s="53"/>
      <c r="J254" s="79">
        <f t="shared" ref="J254:Y254" si="67">IF(AND(J$192 = 0, J$198), J$200 * J25 * J36 / (1 + $H228) / $H47, 0)</f>
        <v>0</v>
      </c>
      <c r="K254" s="79">
        <f t="shared" si="67"/>
        <v>0</v>
      </c>
      <c r="L254" s="79">
        <f t="shared" si="67"/>
        <v>0</v>
      </c>
      <c r="M254" s="79">
        <f t="shared" si="67"/>
        <v>0</v>
      </c>
      <c r="N254" s="79">
        <f t="shared" si="67"/>
        <v>0</v>
      </c>
      <c r="O254" s="79">
        <f t="shared" si="67"/>
        <v>0</v>
      </c>
      <c r="P254" s="79">
        <f t="shared" si="67"/>
        <v>0</v>
      </c>
      <c r="Q254" s="79">
        <f t="shared" si="67"/>
        <v>0</v>
      </c>
      <c r="R254" s="79">
        <f t="shared" si="67"/>
        <v>0</v>
      </c>
      <c r="S254" s="79">
        <f t="shared" si="67"/>
        <v>0</v>
      </c>
      <c r="T254" s="79">
        <f t="shared" si="67"/>
        <v>0</v>
      </c>
      <c r="U254" s="79">
        <f t="shared" si="67"/>
        <v>0</v>
      </c>
      <c r="V254" s="79">
        <f t="shared" si="67"/>
        <v>0</v>
      </c>
      <c r="W254" s="79">
        <f t="shared" si="67"/>
        <v>0</v>
      </c>
      <c r="X254" s="79">
        <f t="shared" si="67"/>
        <v>0</v>
      </c>
      <c r="Y254" s="79">
        <f t="shared" si="67"/>
        <v>0</v>
      </c>
      <c r="AQ254" s="3"/>
    </row>
    <row r="255" spans="3:43" x14ac:dyDescent="0.35">
      <c r="C255" s="27"/>
      <c r="F255" t="s">
        <v>194</v>
      </c>
      <c r="G255" s="53" t="s">
        <v>172</v>
      </c>
      <c r="H255" s="53"/>
      <c r="J255" s="79">
        <f t="shared" ref="J255:Y255" si="68">IF(AND(J$192 = 0, J$198), J$200 * J26 * J37 / (1 + $H229) / $H48, 0)</f>
        <v>0</v>
      </c>
      <c r="K255" s="79">
        <f t="shared" si="68"/>
        <v>0</v>
      </c>
      <c r="L255" s="79">
        <f t="shared" si="68"/>
        <v>0</v>
      </c>
      <c r="M255" s="79">
        <f t="shared" si="68"/>
        <v>0</v>
      </c>
      <c r="N255" s="79">
        <f t="shared" si="68"/>
        <v>0</v>
      </c>
      <c r="O255" s="79">
        <f t="shared" si="68"/>
        <v>0</v>
      </c>
      <c r="P255" s="79">
        <f t="shared" si="68"/>
        <v>0</v>
      </c>
      <c r="Q255" s="79">
        <f t="shared" si="68"/>
        <v>0</v>
      </c>
      <c r="R255" s="79">
        <f t="shared" si="68"/>
        <v>0</v>
      </c>
      <c r="S255" s="79">
        <f t="shared" si="68"/>
        <v>0</v>
      </c>
      <c r="T255" s="79">
        <f t="shared" si="68"/>
        <v>0</v>
      </c>
      <c r="U255" s="79">
        <f t="shared" si="68"/>
        <v>0</v>
      </c>
      <c r="V255" s="79">
        <f t="shared" si="68"/>
        <v>0</v>
      </c>
      <c r="W255" s="79">
        <f t="shared" si="68"/>
        <v>0</v>
      </c>
      <c r="X255" s="79">
        <f t="shared" si="68"/>
        <v>0</v>
      </c>
      <c r="Y255" s="79">
        <f t="shared" si="68"/>
        <v>0</v>
      </c>
      <c r="AQ255" s="3"/>
    </row>
    <row r="256" spans="3:43" x14ac:dyDescent="0.35">
      <c r="C256" s="27"/>
      <c r="F256" t="s">
        <v>195</v>
      </c>
      <c r="G256" s="53" t="s">
        <v>172</v>
      </c>
      <c r="H256" s="53"/>
      <c r="J256" s="79">
        <f t="shared" ref="J256:Y256" si="69">IF(AND(J$192 = 0, J$198), J$200 * J27 * J38 / (1 + $H230) / $H49, 0)</f>
        <v>0</v>
      </c>
      <c r="K256" s="79">
        <f t="shared" si="69"/>
        <v>0</v>
      </c>
      <c r="L256" s="79">
        <f t="shared" si="69"/>
        <v>0</v>
      </c>
      <c r="M256" s="79">
        <f t="shared" si="69"/>
        <v>0</v>
      </c>
      <c r="N256" s="79">
        <f t="shared" si="69"/>
        <v>0</v>
      </c>
      <c r="O256" s="79">
        <f t="shared" si="69"/>
        <v>0</v>
      </c>
      <c r="P256" s="79">
        <f t="shared" si="69"/>
        <v>0</v>
      </c>
      <c r="Q256" s="79">
        <f t="shared" si="69"/>
        <v>0</v>
      </c>
      <c r="R256" s="79">
        <f t="shared" si="69"/>
        <v>0</v>
      </c>
      <c r="S256" s="79">
        <f t="shared" si="69"/>
        <v>0</v>
      </c>
      <c r="T256" s="79">
        <f t="shared" si="69"/>
        <v>0</v>
      </c>
      <c r="U256" s="79">
        <f t="shared" si="69"/>
        <v>0</v>
      </c>
      <c r="V256" s="79">
        <f t="shared" si="69"/>
        <v>0</v>
      </c>
      <c r="W256" s="79">
        <f t="shared" si="69"/>
        <v>0</v>
      </c>
      <c r="X256" s="79">
        <f t="shared" si="69"/>
        <v>0</v>
      </c>
      <c r="Y256" s="79">
        <f t="shared" si="69"/>
        <v>0</v>
      </c>
      <c r="AQ256" s="3"/>
    </row>
    <row r="257" spans="2:43" x14ac:dyDescent="0.35">
      <c r="C257" s="27"/>
      <c r="F257" t="s">
        <v>196</v>
      </c>
      <c r="G257" s="53" t="s">
        <v>172</v>
      </c>
      <c r="H257" s="53"/>
      <c r="J257" s="79">
        <f t="shared" ref="J257:Y257" si="70">IF(AND(J$192 = 0, J$198), J$200 * J28 * J39 / (1 + $H231) / $H50, 0)</f>
        <v>0</v>
      </c>
      <c r="K257" s="79">
        <f t="shared" si="70"/>
        <v>0</v>
      </c>
      <c r="L257" s="79">
        <f t="shared" si="70"/>
        <v>0</v>
      </c>
      <c r="M257" s="79">
        <f t="shared" si="70"/>
        <v>0</v>
      </c>
      <c r="N257" s="79">
        <f t="shared" si="70"/>
        <v>0</v>
      </c>
      <c r="O257" s="79">
        <f t="shared" si="70"/>
        <v>0</v>
      </c>
      <c r="P257" s="79">
        <f t="shared" si="70"/>
        <v>0</v>
      </c>
      <c r="Q257" s="79">
        <f t="shared" si="70"/>
        <v>0</v>
      </c>
      <c r="R257" s="79">
        <f t="shared" si="70"/>
        <v>0</v>
      </c>
      <c r="S257" s="79">
        <f t="shared" si="70"/>
        <v>0</v>
      </c>
      <c r="T257" s="79">
        <f t="shared" si="70"/>
        <v>0</v>
      </c>
      <c r="U257" s="79">
        <f t="shared" si="70"/>
        <v>0</v>
      </c>
      <c r="V257" s="79">
        <f t="shared" si="70"/>
        <v>0</v>
      </c>
      <c r="W257" s="79">
        <f t="shared" si="70"/>
        <v>0</v>
      </c>
      <c r="X257" s="79">
        <f t="shared" si="70"/>
        <v>0</v>
      </c>
      <c r="Y257" s="79">
        <f t="shared" si="70"/>
        <v>0</v>
      </c>
      <c r="AQ257" s="3"/>
    </row>
    <row r="258" spans="2:43" x14ac:dyDescent="0.35">
      <c r="C258" s="27"/>
      <c r="F258" t="s">
        <v>197</v>
      </c>
      <c r="G258" s="53" t="s">
        <v>172</v>
      </c>
      <c r="H258" s="53"/>
      <c r="J258" s="79">
        <f t="shared" ref="J258:Y258" si="71">IF(AND(J$192 = 0, J$198), J$200 * J29 * J40 / (1 + $H232) / $H51, 0)</f>
        <v>0</v>
      </c>
      <c r="K258" s="79">
        <f t="shared" si="71"/>
        <v>0</v>
      </c>
      <c r="L258" s="79">
        <f t="shared" si="71"/>
        <v>0</v>
      </c>
      <c r="M258" s="79">
        <f t="shared" si="71"/>
        <v>0</v>
      </c>
      <c r="N258" s="79">
        <f t="shared" si="71"/>
        <v>0</v>
      </c>
      <c r="O258" s="79">
        <f t="shared" si="71"/>
        <v>0</v>
      </c>
      <c r="P258" s="79">
        <f t="shared" si="71"/>
        <v>0</v>
      </c>
      <c r="Q258" s="79">
        <f t="shared" si="71"/>
        <v>0</v>
      </c>
      <c r="R258" s="79">
        <f t="shared" si="71"/>
        <v>0</v>
      </c>
      <c r="S258" s="79">
        <f t="shared" si="71"/>
        <v>0</v>
      </c>
      <c r="T258" s="79">
        <f t="shared" si="71"/>
        <v>0</v>
      </c>
      <c r="U258" s="79">
        <f t="shared" si="71"/>
        <v>0</v>
      </c>
      <c r="V258" s="79">
        <f t="shared" si="71"/>
        <v>0</v>
      </c>
      <c r="W258" s="79">
        <f t="shared" si="71"/>
        <v>0</v>
      </c>
      <c r="X258" s="79">
        <f t="shared" si="71"/>
        <v>0</v>
      </c>
      <c r="Y258" s="79">
        <f t="shared" si="71"/>
        <v>0</v>
      </c>
      <c r="AQ258" s="3"/>
    </row>
    <row r="259" spans="2:43" x14ac:dyDescent="0.35">
      <c r="C259" s="27"/>
      <c r="F259" t="s">
        <v>198</v>
      </c>
      <c r="G259" s="53" t="s">
        <v>172</v>
      </c>
      <c r="H259" s="53"/>
      <c r="J259" s="79">
        <f t="shared" ref="J259:Y259" si="72">IF(AND(J$192 = 0, J$198), J$200 * J30 * J41 / (1 + $H233) / $H52, 0)</f>
        <v>0</v>
      </c>
      <c r="K259" s="79">
        <f t="shared" si="72"/>
        <v>0</v>
      </c>
      <c r="L259" s="79">
        <f t="shared" si="72"/>
        <v>0</v>
      </c>
      <c r="M259" s="79">
        <f t="shared" si="72"/>
        <v>0</v>
      </c>
      <c r="N259" s="79">
        <f t="shared" si="72"/>
        <v>0</v>
      </c>
      <c r="O259" s="79">
        <f t="shared" si="72"/>
        <v>0</v>
      </c>
      <c r="P259" s="79">
        <f t="shared" si="72"/>
        <v>0</v>
      </c>
      <c r="Q259" s="79">
        <f t="shared" si="72"/>
        <v>0</v>
      </c>
      <c r="R259" s="79">
        <f t="shared" si="72"/>
        <v>0</v>
      </c>
      <c r="S259" s="79">
        <f t="shared" si="72"/>
        <v>0</v>
      </c>
      <c r="T259" s="79">
        <f t="shared" si="72"/>
        <v>0</v>
      </c>
      <c r="U259" s="79">
        <f t="shared" si="72"/>
        <v>0</v>
      </c>
      <c r="V259" s="79">
        <f t="shared" si="72"/>
        <v>0</v>
      </c>
      <c r="W259" s="79">
        <f t="shared" si="72"/>
        <v>0</v>
      </c>
      <c r="X259" s="79">
        <f t="shared" si="72"/>
        <v>0</v>
      </c>
      <c r="Y259" s="79">
        <f t="shared" si="72"/>
        <v>0</v>
      </c>
      <c r="AQ259" s="3"/>
    </row>
    <row r="260" spans="2:43" x14ac:dyDescent="0.35">
      <c r="C260" s="27"/>
      <c r="F260" s="28" t="s">
        <v>199</v>
      </c>
      <c r="G260" s="120" t="s">
        <v>172</v>
      </c>
      <c r="H260" s="120"/>
      <c r="I260" s="28"/>
      <c r="J260" s="72">
        <f t="shared" ref="J260:Y260" si="73">IF(AND(J$192 = 0, J$198), J$200 * J31 * J42 / (1 + $H234) / $H53, 0)</f>
        <v>1179.0196340808741</v>
      </c>
      <c r="K260" s="72">
        <f t="shared" si="73"/>
        <v>0</v>
      </c>
      <c r="L260" s="72">
        <f t="shared" si="73"/>
        <v>414.94260710185341</v>
      </c>
      <c r="M260" s="72">
        <f t="shared" si="73"/>
        <v>0</v>
      </c>
      <c r="N260" s="72">
        <f t="shared" si="73"/>
        <v>0</v>
      </c>
      <c r="O260" s="72">
        <f t="shared" si="73"/>
        <v>0</v>
      </c>
      <c r="P260" s="72">
        <f t="shared" si="73"/>
        <v>0</v>
      </c>
      <c r="Q260" s="72">
        <f t="shared" si="73"/>
        <v>0</v>
      </c>
      <c r="R260" s="72">
        <f t="shared" si="73"/>
        <v>0</v>
      </c>
      <c r="S260" s="72">
        <f t="shared" si="73"/>
        <v>0</v>
      </c>
      <c r="T260" s="72">
        <f t="shared" si="73"/>
        <v>0</v>
      </c>
      <c r="U260" s="72">
        <f t="shared" si="73"/>
        <v>0</v>
      </c>
      <c r="V260" s="72">
        <f t="shared" si="73"/>
        <v>0</v>
      </c>
      <c r="W260" s="72">
        <f t="shared" si="73"/>
        <v>0</v>
      </c>
      <c r="X260" s="72">
        <f t="shared" si="73"/>
        <v>0</v>
      </c>
      <c r="Y260" s="72">
        <f t="shared" si="73"/>
        <v>0</v>
      </c>
      <c r="AQ260" s="3"/>
    </row>
    <row r="261" spans="2:43" x14ac:dyDescent="0.35">
      <c r="H261" s="156"/>
    </row>
    <row r="262" spans="2:43" x14ac:dyDescent="0.35">
      <c r="B262" s="25" t="s">
        <v>541</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Q262" s="3"/>
    </row>
    <row r="263" spans="2:43" x14ac:dyDescent="0.35">
      <c r="H263" s="156"/>
      <c r="J263" s="53"/>
      <c r="K263" s="53"/>
      <c r="L263" s="53"/>
      <c r="M263" s="53"/>
      <c r="N263" s="53"/>
      <c r="O263" s="53"/>
      <c r="P263" s="53"/>
      <c r="Q263" s="53"/>
      <c r="R263" s="53"/>
      <c r="S263" s="53"/>
      <c r="T263" s="53"/>
      <c r="U263" s="53"/>
      <c r="V263" s="53"/>
      <c r="W263" s="53"/>
      <c r="X263" s="53"/>
      <c r="Y263" s="53"/>
    </row>
    <row r="264" spans="2:43" x14ac:dyDescent="0.35">
      <c r="C264" s="24" t="s">
        <v>542</v>
      </c>
      <c r="H264" s="156"/>
      <c r="J264" s="53"/>
      <c r="K264" s="53"/>
      <c r="L264" s="53"/>
      <c r="M264" s="53"/>
      <c r="N264" s="53"/>
      <c r="O264" s="53"/>
      <c r="P264" s="53"/>
      <c r="Q264" s="53"/>
      <c r="R264" s="53"/>
      <c r="S264" s="53"/>
      <c r="T264" s="53"/>
      <c r="U264" s="53"/>
      <c r="V264" s="53"/>
      <c r="W264" s="53"/>
      <c r="X264" s="53"/>
      <c r="Y264" s="53"/>
    </row>
    <row r="265" spans="2:43" x14ac:dyDescent="0.35">
      <c r="H265" s="156"/>
      <c r="J265" s="53"/>
      <c r="K265" s="53"/>
      <c r="L265" s="53"/>
      <c r="M265" s="53"/>
      <c r="N265" s="53"/>
      <c r="O265" s="53"/>
      <c r="P265" s="53"/>
      <c r="Q265" s="53"/>
      <c r="R265" s="53"/>
      <c r="S265" s="53"/>
      <c r="T265" s="53"/>
      <c r="U265" s="53"/>
      <c r="V265" s="53"/>
      <c r="W265" s="53"/>
      <c r="X265" s="53"/>
      <c r="Y265" s="53"/>
    </row>
    <row r="266" spans="2:43" x14ac:dyDescent="0.35">
      <c r="C266" s="26" t="str">
        <f ca="1">INDEX('Version control'!$H$38:$H$61,MATCH($A$1,'Version control'!$F$38:$F$61,0),1)&amp;"-I: System peak based on chargeable load"</f>
        <v>Section 106-I: System peak based on chargeable load</v>
      </c>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Q266" s="3"/>
    </row>
    <row r="267" spans="2:43" x14ac:dyDescent="0.35">
      <c r="H267" s="156"/>
    </row>
    <row r="268" spans="2:43" x14ac:dyDescent="0.35">
      <c r="E268" s="27" t="s">
        <v>543</v>
      </c>
      <c r="F268" s="24"/>
      <c r="H268" s="163" t="s">
        <v>544</v>
      </c>
      <c r="J268" s="53"/>
      <c r="K268" s="53"/>
      <c r="L268" s="53"/>
      <c r="M268" s="53"/>
      <c r="N268" s="53"/>
      <c r="O268" s="53"/>
      <c r="P268" s="53"/>
      <c r="Q268" s="53"/>
      <c r="R268" s="53"/>
      <c r="S268" s="53"/>
      <c r="T268" s="53"/>
      <c r="U268" s="53"/>
      <c r="V268" s="53"/>
      <c r="W268" s="53"/>
      <c r="X268" s="53"/>
      <c r="Y268" s="53"/>
    </row>
    <row r="269" spans="2:43" x14ac:dyDescent="0.35">
      <c r="C269" s="27"/>
      <c r="F269" s="19" t="s">
        <v>191</v>
      </c>
      <c r="G269" s="19" t="s">
        <v>172</v>
      </c>
      <c r="H269" s="91">
        <f t="shared" ref="H269:H277" si="74">SUM(J269:Y269)</f>
        <v>4239.883943037019</v>
      </c>
      <c r="I269" s="148"/>
      <c r="J269" s="148">
        <f t="shared" ref="J269:Y269" si="75">J239 + J252 + J168</f>
        <v>2334.2902251723267</v>
      </c>
      <c r="K269" s="148">
        <f t="shared" si="75"/>
        <v>2.3106463171984664</v>
      </c>
      <c r="L269" s="148">
        <f t="shared" si="75"/>
        <v>584.28862047712846</v>
      </c>
      <c r="M269" s="148">
        <f t="shared" si="75"/>
        <v>1.348136887315043</v>
      </c>
      <c r="N269" s="148">
        <f t="shared" si="75"/>
        <v>840.58709310540019</v>
      </c>
      <c r="O269" s="148">
        <f t="shared" si="75"/>
        <v>40.373071176570065</v>
      </c>
      <c r="P269" s="148">
        <f t="shared" si="75"/>
        <v>519.83936237706757</v>
      </c>
      <c r="Q269" s="148">
        <f t="shared" si="75"/>
        <v>36.7234586012694</v>
      </c>
      <c r="R269" s="148">
        <f t="shared" si="75"/>
        <v>-1.4094533907318971</v>
      </c>
      <c r="S269" s="148">
        <f t="shared" si="75"/>
        <v>-4.5660184340845261E-2</v>
      </c>
      <c r="T269" s="148">
        <f t="shared" si="75"/>
        <v>-6.7930162327394061</v>
      </c>
      <c r="U269" s="148">
        <f t="shared" si="75"/>
        <v>0</v>
      </c>
      <c r="V269" s="148">
        <f t="shared" si="75"/>
        <v>0</v>
      </c>
      <c r="W269" s="148">
        <f t="shared" si="75"/>
        <v>0</v>
      </c>
      <c r="X269" s="148">
        <f t="shared" si="75"/>
        <v>-111.62854126944453</v>
      </c>
      <c r="Y269" s="148">
        <f t="shared" si="75"/>
        <v>0</v>
      </c>
      <c r="AQ269" s="3"/>
    </row>
    <row r="270" spans="2:43" x14ac:dyDescent="0.35">
      <c r="C270" s="27"/>
      <c r="F270" t="s">
        <v>192</v>
      </c>
      <c r="G270" t="s">
        <v>172</v>
      </c>
      <c r="H270" s="111">
        <f t="shared" si="74"/>
        <v>4155.4249853458505</v>
      </c>
      <c r="I270" s="79"/>
      <c r="J270" s="79">
        <f t="shared" ref="J270:Y270" si="76">J240 + J253 + J169</f>
        <v>2249.8270855291848</v>
      </c>
      <c r="K270" s="79">
        <f t="shared" si="76"/>
        <v>4.2488007463422504</v>
      </c>
      <c r="L270" s="79">
        <f t="shared" si="76"/>
        <v>589.52169501832759</v>
      </c>
      <c r="M270" s="79">
        <f t="shared" si="76"/>
        <v>1.6147811388694044</v>
      </c>
      <c r="N270" s="79">
        <f t="shared" si="76"/>
        <v>837.82365571825471</v>
      </c>
      <c r="O270" s="79">
        <f t="shared" si="76"/>
        <v>40.211481860673622</v>
      </c>
      <c r="P270" s="79">
        <f t="shared" si="76"/>
        <v>517.33301260138182</v>
      </c>
      <c r="Q270" s="79">
        <f t="shared" si="76"/>
        <v>36.145865449134995</v>
      </c>
      <c r="R270" s="79">
        <f t="shared" si="76"/>
        <v>-1.4800225940556122</v>
      </c>
      <c r="S270" s="79">
        <f t="shared" si="76"/>
        <v>-4.4405151960304125E-2</v>
      </c>
      <c r="T270" s="79">
        <f t="shared" si="76"/>
        <v>-7.06671150963302</v>
      </c>
      <c r="U270" s="79">
        <f t="shared" si="76"/>
        <v>0</v>
      </c>
      <c r="V270" s="79">
        <f t="shared" si="76"/>
        <v>0</v>
      </c>
      <c r="W270" s="79">
        <f t="shared" si="76"/>
        <v>0</v>
      </c>
      <c r="X270" s="79">
        <f t="shared" si="76"/>
        <v>-112.71025346067029</v>
      </c>
      <c r="Y270" s="79">
        <f t="shared" si="76"/>
        <v>0</v>
      </c>
      <c r="AQ270" s="3"/>
    </row>
    <row r="271" spans="2:43" x14ac:dyDescent="0.35">
      <c r="C271" s="27"/>
      <c r="F271" t="s">
        <v>193</v>
      </c>
      <c r="G271" t="s">
        <v>172</v>
      </c>
      <c r="H271" s="111">
        <f t="shared" si="74"/>
        <v>4138.9352036579694</v>
      </c>
      <c r="I271" s="79"/>
      <c r="J271" s="79">
        <f t="shared" ref="J271:Y271" si="77">J241 + J254 + J170</f>
        <v>2240.899200269148</v>
      </c>
      <c r="K271" s="79">
        <f t="shared" si="77"/>
        <v>4.2319404259202571</v>
      </c>
      <c r="L271" s="79">
        <f t="shared" si="77"/>
        <v>587.18232321269932</v>
      </c>
      <c r="M271" s="79">
        <f t="shared" si="77"/>
        <v>1.6083732772072243</v>
      </c>
      <c r="N271" s="79">
        <f t="shared" si="77"/>
        <v>834.49895867175394</v>
      </c>
      <c r="O271" s="79">
        <f t="shared" si="77"/>
        <v>40.051912488210625</v>
      </c>
      <c r="P271" s="79">
        <f t="shared" si="77"/>
        <v>515.28010382121761</v>
      </c>
      <c r="Q271" s="79">
        <f t="shared" si="77"/>
        <v>36.002429475130484</v>
      </c>
      <c r="R271" s="79">
        <f t="shared" si="77"/>
        <v>-1.4741494885236455</v>
      </c>
      <c r="S271" s="79">
        <f t="shared" si="77"/>
        <v>-4.4228941039826733E-2</v>
      </c>
      <c r="T271" s="79">
        <f t="shared" si="77"/>
        <v>-7.038669003642414</v>
      </c>
      <c r="U271" s="79">
        <f t="shared" si="77"/>
        <v>0</v>
      </c>
      <c r="V271" s="79">
        <f t="shared" si="77"/>
        <v>0</v>
      </c>
      <c r="W271" s="79">
        <f t="shared" si="77"/>
        <v>0</v>
      </c>
      <c r="X271" s="79">
        <f t="shared" si="77"/>
        <v>-112.26299055011208</v>
      </c>
      <c r="Y271" s="79">
        <f t="shared" si="77"/>
        <v>0</v>
      </c>
      <c r="AQ271" s="3"/>
    </row>
    <row r="272" spans="2:43" x14ac:dyDescent="0.35">
      <c r="C272" s="27"/>
      <c r="F272" t="s">
        <v>194</v>
      </c>
      <c r="G272" t="s">
        <v>172</v>
      </c>
      <c r="H272" s="111">
        <f t="shared" si="74"/>
        <v>4291.2394865054703</v>
      </c>
      <c r="I272" s="79"/>
      <c r="J272" s="79">
        <f t="shared" ref="J272:Y272" si="78">J242 + J255 + J171</f>
        <v>2163.9308092819833</v>
      </c>
      <c r="K272" s="79">
        <f t="shared" si="78"/>
        <v>5.8819426781073529</v>
      </c>
      <c r="L272" s="79">
        <f t="shared" si="78"/>
        <v>592.09722867654602</v>
      </c>
      <c r="M272" s="79">
        <f t="shared" si="78"/>
        <v>1.8194205738816389</v>
      </c>
      <c r="N272" s="79">
        <f t="shared" si="78"/>
        <v>831.9134386239466</v>
      </c>
      <c r="O272" s="79">
        <f t="shared" si="78"/>
        <v>39.882136776382318</v>
      </c>
      <c r="P272" s="79">
        <f t="shared" si="78"/>
        <v>745.11143649648034</v>
      </c>
      <c r="Q272" s="79">
        <f t="shared" si="78"/>
        <v>32.762314238464867</v>
      </c>
      <c r="R272" s="79">
        <f t="shared" si="78"/>
        <v>-1.5421218882192749</v>
      </c>
      <c r="S272" s="79">
        <f t="shared" si="78"/>
        <v>-4.3157256414098337E-2</v>
      </c>
      <c r="T272" s="79">
        <f t="shared" si="78"/>
        <v>-7.2964960409166437</v>
      </c>
      <c r="U272" s="79">
        <f t="shared" si="78"/>
        <v>0</v>
      </c>
      <c r="V272" s="79">
        <f t="shared" si="78"/>
        <v>0</v>
      </c>
      <c r="W272" s="79">
        <f t="shared" si="78"/>
        <v>0</v>
      </c>
      <c r="X272" s="79">
        <f t="shared" si="78"/>
        <v>-113.2774656547718</v>
      </c>
      <c r="Y272" s="79">
        <f t="shared" si="78"/>
        <v>0</v>
      </c>
      <c r="AQ272" s="3"/>
    </row>
    <row r="273" spans="2:43" x14ac:dyDescent="0.35">
      <c r="C273" s="27"/>
      <c r="F273" t="s">
        <v>195</v>
      </c>
      <c r="G273" t="s">
        <v>172</v>
      </c>
      <c r="H273" s="111">
        <f t="shared" si="74"/>
        <v>5195.4879356874617</v>
      </c>
      <c r="I273" s="79"/>
      <c r="J273" s="79">
        <f t="shared" ref="J273:Y273" si="79">J243 + J256 + J172</f>
        <v>2153.3024654249984</v>
      </c>
      <c r="K273" s="79">
        <f t="shared" si="79"/>
        <v>5.8530529792954304</v>
      </c>
      <c r="L273" s="79">
        <f t="shared" si="79"/>
        <v>589.18908904650391</v>
      </c>
      <c r="M273" s="79">
        <f t="shared" si="79"/>
        <v>1.8104843235187622</v>
      </c>
      <c r="N273" s="79">
        <f t="shared" si="79"/>
        <v>827.82741977019441</v>
      </c>
      <c r="O273" s="79">
        <f t="shared" si="79"/>
        <v>39.686252018148608</v>
      </c>
      <c r="P273" s="79">
        <f t="shared" si="79"/>
        <v>1666.7770175547446</v>
      </c>
      <c r="Q273" s="79">
        <f t="shared" si="79"/>
        <v>32.60139913906179</v>
      </c>
      <c r="R273" s="79">
        <f t="shared" si="79"/>
        <v>-1.5345476156838165</v>
      </c>
      <c r="S273" s="79">
        <f t="shared" si="79"/>
        <v>-4.2945285606563466E-2</v>
      </c>
      <c r="T273" s="79">
        <f t="shared" si="79"/>
        <v>-7.2606586340359129</v>
      </c>
      <c r="U273" s="79">
        <f t="shared" si="79"/>
        <v>0</v>
      </c>
      <c r="V273" s="79">
        <f t="shared" si="79"/>
        <v>0</v>
      </c>
      <c r="W273" s="79">
        <f t="shared" si="79"/>
        <v>0</v>
      </c>
      <c r="X273" s="79">
        <f t="shared" si="79"/>
        <v>-112.72109303367765</v>
      </c>
      <c r="Y273" s="79">
        <f t="shared" si="79"/>
        <v>0</v>
      </c>
      <c r="AQ273" s="3"/>
    </row>
    <row r="274" spans="2:43" x14ac:dyDescent="0.35">
      <c r="C274" s="27"/>
      <c r="F274" t="s">
        <v>196</v>
      </c>
      <c r="G274" t="s">
        <v>172</v>
      </c>
      <c r="H274" s="111">
        <f t="shared" si="74"/>
        <v>0</v>
      </c>
      <c r="I274" s="79"/>
      <c r="J274" s="79">
        <f t="shared" ref="J274:Y274" si="80">J244 + J257 + J173</f>
        <v>0</v>
      </c>
      <c r="K274" s="79">
        <f t="shared" si="80"/>
        <v>0</v>
      </c>
      <c r="L274" s="79">
        <f t="shared" si="80"/>
        <v>0</v>
      </c>
      <c r="M274" s="79">
        <f t="shared" si="80"/>
        <v>0</v>
      </c>
      <c r="N274" s="79">
        <f t="shared" si="80"/>
        <v>0</v>
      </c>
      <c r="O274" s="79">
        <f t="shared" si="80"/>
        <v>0</v>
      </c>
      <c r="P274" s="79">
        <f t="shared" si="80"/>
        <v>0</v>
      </c>
      <c r="Q274" s="79">
        <f t="shared" si="80"/>
        <v>0</v>
      </c>
      <c r="R274" s="79">
        <f t="shared" si="80"/>
        <v>0</v>
      </c>
      <c r="S274" s="79">
        <f t="shared" si="80"/>
        <v>0</v>
      </c>
      <c r="T274" s="79">
        <f t="shared" si="80"/>
        <v>0</v>
      </c>
      <c r="U274" s="79">
        <f t="shared" si="80"/>
        <v>0</v>
      </c>
      <c r="V274" s="79">
        <f t="shared" si="80"/>
        <v>0</v>
      </c>
      <c r="W274" s="79">
        <f t="shared" si="80"/>
        <v>0</v>
      </c>
      <c r="X274" s="79">
        <f t="shared" si="80"/>
        <v>0</v>
      </c>
      <c r="Y274" s="79">
        <f t="shared" si="80"/>
        <v>0</v>
      </c>
      <c r="AQ274" s="3"/>
    </row>
    <row r="275" spans="2:43" x14ac:dyDescent="0.35">
      <c r="C275" s="27"/>
      <c r="F275" t="s">
        <v>197</v>
      </c>
      <c r="G275" t="s">
        <v>172</v>
      </c>
      <c r="H275" s="111">
        <f t="shared" si="74"/>
        <v>5057.489202076199</v>
      </c>
      <c r="I275" s="79"/>
      <c r="J275" s="79">
        <f t="shared" ref="J275:Y275" si="81">J245 + J258 + J174</f>
        <v>2012.9227913909824</v>
      </c>
      <c r="K275" s="79">
        <f t="shared" si="81"/>
        <v>8.8958247896534441</v>
      </c>
      <c r="L275" s="79">
        <f t="shared" si="81"/>
        <v>597.99287299266769</v>
      </c>
      <c r="M275" s="79">
        <f t="shared" si="81"/>
        <v>2.2055695611441077</v>
      </c>
      <c r="N275" s="79">
        <f t="shared" si="81"/>
        <v>1115.8568464757375</v>
      </c>
      <c r="O275" s="79">
        <f t="shared" si="81"/>
        <v>96.693994739655977</v>
      </c>
      <c r="P275" s="79">
        <f t="shared" si="81"/>
        <v>1205.9637978029198</v>
      </c>
      <c r="Q275" s="79">
        <f t="shared" si="81"/>
        <v>26.380930701054947</v>
      </c>
      <c r="R275" s="79">
        <f t="shared" si="81"/>
        <v>-1.6567080091781623</v>
      </c>
      <c r="S275" s="79">
        <f t="shared" si="81"/>
        <v>-4.0963238832985367E-2</v>
      </c>
      <c r="T275" s="79">
        <f t="shared" si="81"/>
        <v>-7.7257551296061768</v>
      </c>
      <c r="U275" s="79">
        <f t="shared" si="81"/>
        <v>0</v>
      </c>
      <c r="V275" s="79">
        <f t="shared" si="81"/>
        <v>0</v>
      </c>
      <c r="W275" s="79">
        <f t="shared" si="81"/>
        <v>0</v>
      </c>
      <c r="X275" s="79">
        <f t="shared" si="81"/>
        <v>0</v>
      </c>
      <c r="Y275" s="79">
        <f t="shared" si="81"/>
        <v>0</v>
      </c>
      <c r="AQ275" s="3"/>
    </row>
    <row r="276" spans="2:43" x14ac:dyDescent="0.35">
      <c r="C276" s="27"/>
      <c r="F276" t="s">
        <v>198</v>
      </c>
      <c r="G276" t="s">
        <v>172</v>
      </c>
      <c r="H276" s="111">
        <f t="shared" si="74"/>
        <v>4945.8493636837693</v>
      </c>
      <c r="I276" s="79"/>
      <c r="J276" s="79">
        <f t="shared" ref="J276:Y276" si="82">J246 + J259 + J175</f>
        <v>1982.0438223955307</v>
      </c>
      <c r="K276" s="79">
        <f t="shared" si="82"/>
        <v>8.7593595963318176</v>
      </c>
      <c r="L276" s="79">
        <f t="shared" si="82"/>
        <v>588.81944445203237</v>
      </c>
      <c r="M276" s="79">
        <f t="shared" si="82"/>
        <v>2.1717353205129419</v>
      </c>
      <c r="N276" s="79">
        <f t="shared" si="82"/>
        <v>2252.1066234111354</v>
      </c>
      <c r="O276" s="79">
        <f t="shared" si="82"/>
        <v>95.210673631473341</v>
      </c>
      <c r="P276" s="79">
        <f t="shared" si="82"/>
        <v>0</v>
      </c>
      <c r="Q276" s="79">
        <f t="shared" si="82"/>
        <v>25.976237612639913</v>
      </c>
      <c r="R276" s="79">
        <f t="shared" si="82"/>
        <v>-1.6312935047228883</v>
      </c>
      <c r="S276" s="79">
        <f t="shared" si="82"/>
        <v>0</v>
      </c>
      <c r="T276" s="79">
        <f t="shared" si="82"/>
        <v>-7.6072392311654298</v>
      </c>
      <c r="U276" s="79">
        <f t="shared" si="82"/>
        <v>0</v>
      </c>
      <c r="V276" s="79">
        <f t="shared" si="82"/>
        <v>0</v>
      </c>
      <c r="W276" s="79">
        <f t="shared" si="82"/>
        <v>0</v>
      </c>
      <c r="X276" s="79">
        <f t="shared" si="82"/>
        <v>0</v>
      </c>
      <c r="Y276" s="79">
        <f t="shared" si="82"/>
        <v>0</v>
      </c>
      <c r="AQ276" s="3"/>
    </row>
    <row r="277" spans="2:43" x14ac:dyDescent="0.35">
      <c r="C277" s="27"/>
      <c r="F277" s="28" t="s">
        <v>199</v>
      </c>
      <c r="G277" s="28" t="s">
        <v>172</v>
      </c>
      <c r="H277" s="121">
        <f t="shared" si="74"/>
        <v>3273.6634386952851</v>
      </c>
      <c r="I277" s="72"/>
      <c r="J277" s="72">
        <f t="shared" ref="J277:Y277" si="83">J247 + J260 + J176</f>
        <v>1179.0196340808741</v>
      </c>
      <c r="K277" s="72">
        <f t="shared" si="83"/>
        <v>0</v>
      </c>
      <c r="L277" s="72">
        <f t="shared" si="83"/>
        <v>414.94260710185341</v>
      </c>
      <c r="M277" s="72">
        <f t="shared" si="83"/>
        <v>0</v>
      </c>
      <c r="N277" s="72">
        <f t="shared" si="83"/>
        <v>1654.8450362006461</v>
      </c>
      <c r="O277" s="72">
        <f t="shared" si="83"/>
        <v>0</v>
      </c>
      <c r="P277" s="72">
        <f t="shared" si="83"/>
        <v>0</v>
      </c>
      <c r="Q277" s="72">
        <f t="shared" si="83"/>
        <v>24.856161311911396</v>
      </c>
      <c r="R277" s="72">
        <f t="shared" si="83"/>
        <v>0</v>
      </c>
      <c r="S277" s="72">
        <f t="shared" si="83"/>
        <v>0</v>
      </c>
      <c r="T277" s="72">
        <f t="shared" si="83"/>
        <v>0</v>
      </c>
      <c r="U277" s="72">
        <f t="shared" si="83"/>
        <v>0</v>
      </c>
      <c r="V277" s="72">
        <f t="shared" si="83"/>
        <v>0</v>
      </c>
      <c r="W277" s="72">
        <f t="shared" si="83"/>
        <v>0</v>
      </c>
      <c r="X277" s="72">
        <f t="shared" si="83"/>
        <v>0</v>
      </c>
      <c r="Y277" s="72">
        <f t="shared" si="83"/>
        <v>0</v>
      </c>
      <c r="AQ277" s="3"/>
    </row>
    <row r="278" spans="2:43" x14ac:dyDescent="0.35">
      <c r="H278" s="156"/>
    </row>
    <row r="279" spans="2:43" x14ac:dyDescent="0.35">
      <c r="B279" s="25" t="s">
        <v>231</v>
      </c>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C279" s="25"/>
      <c r="AD279" s="25"/>
      <c r="AE279" s="25"/>
      <c r="AF279" s="25"/>
      <c r="AG279" s="25"/>
      <c r="AH279" s="25"/>
      <c r="AI279" s="25"/>
      <c r="AJ279" s="25"/>
      <c r="AK279" s="25"/>
      <c r="AL279" s="25"/>
      <c r="AM279" s="25"/>
      <c r="AN279" s="25"/>
      <c r="AO279" s="25"/>
      <c r="AQ279" s="25"/>
    </row>
    <row r="281" spans="2:43" x14ac:dyDescent="0.35">
      <c r="E281" t="s">
        <v>232</v>
      </c>
      <c r="G281" s="6" t="s">
        <v>55</v>
      </c>
      <c r="H281" s="93">
        <f t="array" ref="H281">SUM(IF(ISERROR(H23:Y277), 1))</f>
        <v>0</v>
      </c>
    </row>
    <row r="283" spans="2:43" x14ac:dyDescent="0.35">
      <c r="B283" s="25" t="s">
        <v>106</v>
      </c>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C283" s="25"/>
      <c r="AD283" s="25"/>
      <c r="AE283" s="25"/>
      <c r="AF283" s="25"/>
      <c r="AG283" s="25"/>
      <c r="AH283" s="25"/>
      <c r="AI283" s="25"/>
      <c r="AJ283" s="25"/>
      <c r="AK283" s="25"/>
      <c r="AL283" s="25"/>
      <c r="AM283" s="25"/>
      <c r="AN283" s="25"/>
      <c r="AO283" s="25"/>
      <c r="AQ283" s="25"/>
    </row>
  </sheetData>
  <sheetProtection sheet="1" objects="1" formatCells="0" formatColumns="0" formatRows="0" sort="0" autoFilter="0"/>
  <conditionalFormatting sqref="A4:I4 Z4:XFD4">
    <cfRule type="expression" dxfId="145" priority="10">
      <formula>LEFT($A$4,1) &lt;&gt; "0"</formula>
    </cfRule>
  </conditionalFormatting>
  <conditionalFormatting sqref="N4:P4">
    <cfRule type="expression" dxfId="144" priority="9">
      <formula>LEFT($A$4,1) &lt;&gt; "0"</formula>
    </cfRule>
  </conditionalFormatting>
  <conditionalFormatting sqref="L4:M4">
    <cfRule type="expression" dxfId="143" priority="8">
      <formula>LEFT($A$4,1) &lt;&gt; "0"</formula>
    </cfRule>
  </conditionalFormatting>
  <conditionalFormatting sqref="J4:K4">
    <cfRule type="expression" dxfId="142" priority="7">
      <formula>LEFT($A$4,1) &lt;&gt; "0"</formula>
    </cfRule>
  </conditionalFormatting>
  <conditionalFormatting sqref="Q4">
    <cfRule type="expression" dxfId="141" priority="6">
      <formula>LEFT($A$4,1) &lt;&gt; "0"</formula>
    </cfRule>
  </conditionalFormatting>
  <conditionalFormatting sqref="R4:S4">
    <cfRule type="expression" dxfId="140" priority="5">
      <formula>LEFT($A$4,1) &lt;&gt; "0"</formula>
    </cfRule>
  </conditionalFormatting>
  <conditionalFormatting sqref="T4:U4">
    <cfRule type="expression" dxfId="139" priority="4">
      <formula>LEFT($A$4,1) &lt;&gt; "0"</formula>
    </cfRule>
  </conditionalFormatting>
  <conditionalFormatting sqref="V4:W4">
    <cfRule type="expression" dxfId="138" priority="3">
      <formula>LEFT($A$4,1) &lt;&gt; "0"</formula>
    </cfRule>
  </conditionalFormatting>
  <conditionalFormatting sqref="X4:Y4">
    <cfRule type="expression" dxfId="137" priority="2">
      <formula>LEFT($A$4,1) &lt;&gt; "0"</formula>
    </cfRule>
  </conditionalFormatting>
  <conditionalFormatting sqref="H281">
    <cfRule type="cellIs" dxfId="136" priority="1" operator="greaterThan">
      <formula>0</formula>
    </cfRule>
  </conditionalFormatting>
  <hyperlinks>
    <hyperlink ref="B5:F5" location="'Model map'!A1" display="Click here to return to model map" xr:uid="{00000000-0004-0000-0E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41" width="17" hidden="1" customWidth="1"/>
    <col min="42" max="42" width="3.54296875" hidden="1" customWidth="1"/>
    <col min="43" max="43" width="18.453125" hidden="1" customWidth="1"/>
    <col min="44" max="44" width="4.453125" hidden="1" customWidth="1"/>
    <col min="45" max="45" width="24.54296875" hidden="1" customWidth="1"/>
    <col min="46" max="46" width="3.54296875" hidden="1" customWidth="1"/>
    <col min="47" max="47" width="15.453125" hidden="1" customWidth="1"/>
    <col min="48" max="323" width="24.54296875" hidden="1" customWidth="1"/>
    <col min="324" max="16384" width="8.54296875" hidden="1"/>
  </cols>
  <sheetData>
    <row r="1" spans="1:43" s="1" customFormat="1" x14ac:dyDescent="0.35">
      <c r="A1" s="1" t="str">
        <f ca="1">MID(CELL("filename",A1),FIND("]",CELL("filename",A1))+1,255)</f>
        <v>Service model assets</v>
      </c>
    </row>
    <row r="2" spans="1:43" s="1" customFormat="1" x14ac:dyDescent="0.35">
      <c r="A2" s="1" t="str">
        <f>Cover!D21&amp;" - "&amp;Cover!D23</f>
        <v>Southern Electric Power Distribution - Final</v>
      </c>
    </row>
    <row r="3" spans="1:43" s="5" customFormat="1" x14ac:dyDescent="0.35">
      <c r="A3" s="5" t="str">
        <f>Cover!D2&amp;" - "&amp;Cover!D8&amp;" v"&amp;Cover!D10&amp;" - "&amp;Cover!D19</f>
        <v>CDCM charging model - Release for charge setting v9 - 2024/25</v>
      </c>
    </row>
    <row r="4" spans="1:43" x14ac:dyDescent="0.35">
      <c r="A4" s="11" t="str">
        <f>H38 &amp; IF(H38 = 1, " issue", " issues") &amp;" identified in checks on this sheet"</f>
        <v>0 issues identified in checks on this sheet</v>
      </c>
      <c r="B4" s="12"/>
      <c r="C4" s="12"/>
      <c r="D4" s="12"/>
      <c r="E4" s="12"/>
      <c r="F4" s="12"/>
      <c r="G4" s="12"/>
      <c r="H4" s="13"/>
      <c r="I4" s="13"/>
    </row>
    <row r="5" spans="1:43" ht="43.5" x14ac:dyDescent="0.3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3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35">
      <c r="C9" s="24" t="s">
        <v>545</v>
      </c>
    </row>
    <row r="10" spans="1:43" x14ac:dyDescent="0.35">
      <c r="C10" s="24" t="s">
        <v>546</v>
      </c>
    </row>
    <row r="11" spans="1:43" x14ac:dyDescent="0.35">
      <c r="D11" s="27"/>
      <c r="AQ11" s="3"/>
    </row>
    <row r="12" spans="1:43" x14ac:dyDescent="0.35">
      <c r="B12" s="25" t="s">
        <v>547</v>
      </c>
      <c r="C12" s="25"/>
      <c r="D12" s="25"/>
      <c r="E12" s="25"/>
      <c r="F12" s="25"/>
      <c r="G12" s="82"/>
      <c r="H12" s="25"/>
      <c r="I12" s="25"/>
      <c r="J12" s="25"/>
      <c r="K12" s="25"/>
      <c r="L12" s="25"/>
      <c r="M12" s="25"/>
      <c r="N12" s="25"/>
      <c r="O12" s="25"/>
      <c r="P12" s="25"/>
      <c r="Q12" s="25"/>
      <c r="R12" s="25"/>
      <c r="S12" s="25"/>
      <c r="T12" s="25"/>
      <c r="U12" s="25"/>
      <c r="V12" s="25"/>
      <c r="W12" s="25"/>
      <c r="X12" s="25"/>
      <c r="Y12" s="25"/>
      <c r="Z12" s="25"/>
      <c r="AA12" s="25"/>
    </row>
    <row r="13" spans="1:43" x14ac:dyDescent="0.35">
      <c r="G13" s="12"/>
    </row>
    <row r="14" spans="1:43" x14ac:dyDescent="0.35">
      <c r="C14" s="26" t="str">
        <f ca="1">INDEX('Version control'!$H$38:$H$61,MATCH($A$1,'Version control'!$F$38:$F$61,0),1)&amp;"-A: Service model notional asset values"</f>
        <v>Section 107-A: Service model notional asset values</v>
      </c>
      <c r="D14" s="26"/>
      <c r="E14" s="26"/>
      <c r="F14" s="26"/>
      <c r="G14" s="86"/>
      <c r="H14" s="26"/>
      <c r="I14" s="26"/>
      <c r="J14" s="26"/>
      <c r="K14" s="26"/>
      <c r="L14" s="26"/>
      <c r="M14" s="26"/>
      <c r="N14" s="26"/>
      <c r="O14" s="26"/>
      <c r="P14" s="26"/>
      <c r="Q14" s="26"/>
      <c r="R14" s="26"/>
      <c r="S14" s="26"/>
      <c r="T14" s="26"/>
      <c r="U14" s="26"/>
      <c r="V14" s="26"/>
      <c r="W14" s="26"/>
      <c r="X14" s="26"/>
      <c r="Y14" s="26"/>
      <c r="Z14" s="26"/>
      <c r="AA14" s="26"/>
    </row>
    <row r="16" spans="1:43" x14ac:dyDescent="0.35">
      <c r="E16" s="23" t="s">
        <v>548</v>
      </c>
      <c r="G16" s="23" t="s">
        <v>212</v>
      </c>
      <c r="J16" s="110">
        <f>'Volume adjustments'!J275</f>
        <v>2963525.8662584159</v>
      </c>
      <c r="K16" s="110">
        <f>'Volume adjustments'!K275</f>
        <v>30472.026964790908</v>
      </c>
      <c r="L16" s="110">
        <f>'Volume adjustments'!L275</f>
        <v>229506.51979697746</v>
      </c>
      <c r="M16" s="110">
        <f>'Volume adjustments'!M275</f>
        <v>4516.8450273566268</v>
      </c>
      <c r="N16" s="110">
        <f>'Volume adjustments'!N275</f>
        <v>23394.671482197118</v>
      </c>
      <c r="O16" s="110">
        <f>'Volume adjustments'!O275</f>
        <v>348.57415089106917</v>
      </c>
      <c r="P16" s="110">
        <f>'Volume adjustments'!P275</f>
        <v>1856.3686819904847</v>
      </c>
      <c r="Q16" s="110">
        <f>'Volume adjustments'!Q275</f>
        <v>4144.2452439404015</v>
      </c>
      <c r="R16" s="110">
        <f>'Volume adjustments'!R275</f>
        <v>8349.9354838709678</v>
      </c>
      <c r="S16" s="110">
        <f>'Volume adjustments'!S275</f>
        <v>39</v>
      </c>
      <c r="T16" s="110">
        <f>'Volume adjustments'!T275</f>
        <v>838.90322580645136</v>
      </c>
      <c r="U16" s="110">
        <f>'Volume adjustments'!U275</f>
        <v>0</v>
      </c>
      <c r="V16" s="110">
        <f>'Volume adjustments'!V275</f>
        <v>1</v>
      </c>
      <c r="W16" s="110">
        <f>'Volume adjustments'!W275</f>
        <v>0</v>
      </c>
      <c r="X16" s="110">
        <f>'Volume adjustments'!X275</f>
        <v>234.29032258064521</v>
      </c>
      <c r="Y16" s="110">
        <f>'Volume adjustments'!Y275</f>
        <v>0</v>
      </c>
    </row>
    <row r="17" spans="5:27" x14ac:dyDescent="0.35">
      <c r="E17" s="23" t="s">
        <v>549</v>
      </c>
      <c r="G17" s="23" t="s">
        <v>207</v>
      </c>
      <c r="J17" s="114">
        <f>'Volume adjustments'!J264</f>
        <v>9328991.7077366151</v>
      </c>
      <c r="K17" s="114">
        <f>'Volume adjustments'!K264</f>
        <v>129251.33494997758</v>
      </c>
      <c r="L17" s="114">
        <f>'Volume adjustments'!L264</f>
        <v>3167716.9609553199</v>
      </c>
      <c r="M17" s="114">
        <f>'Volume adjustments'!M264</f>
        <v>34108.866498889452</v>
      </c>
      <c r="N17" s="114">
        <f>'Volume adjustments'!N264</f>
        <v>5034209.0673163561</v>
      </c>
      <c r="O17" s="114">
        <f>'Volume adjustments'!O264</f>
        <v>312324.59871463908</v>
      </c>
      <c r="P17" s="114">
        <f>'Volume adjustments'!P264</f>
        <v>4005844.4470879724</v>
      </c>
      <c r="Q17" s="114">
        <f>'Volume adjustments'!Q264</f>
        <v>185474.35808205561</v>
      </c>
      <c r="R17" s="114">
        <f>'Volume adjustments'!R264</f>
        <v>9853.9</v>
      </c>
      <c r="S17" s="114">
        <f>'Volume adjustments'!S264</f>
        <v>229.69699999999997</v>
      </c>
      <c r="T17" s="114">
        <f>'Volume adjustments'!T264</f>
        <v>52430.946541874546</v>
      </c>
      <c r="U17" s="114">
        <f>'Volume adjustments'!U264</f>
        <v>0</v>
      </c>
      <c r="V17" s="114">
        <f>'Volume adjustments'!V264</f>
        <v>0</v>
      </c>
      <c r="W17" s="114">
        <f>'Volume adjustments'!W264</f>
        <v>0</v>
      </c>
      <c r="X17" s="114">
        <f>'Volume adjustments'!X264</f>
        <v>868285.21715778869</v>
      </c>
      <c r="Y17" s="114">
        <f>'Volume adjustments'!Y264</f>
        <v>0</v>
      </c>
    </row>
    <row r="18" spans="5:27" x14ac:dyDescent="0.35">
      <c r="J18" s="79"/>
      <c r="K18" s="79"/>
      <c r="L18" s="79"/>
      <c r="M18" s="79"/>
      <c r="N18" s="79"/>
      <c r="O18" s="79"/>
      <c r="P18" s="79"/>
      <c r="Q18" s="79"/>
      <c r="R18" s="79"/>
      <c r="S18" s="79"/>
      <c r="T18" s="79"/>
      <c r="U18" s="79"/>
      <c r="V18" s="79"/>
      <c r="W18" s="79"/>
      <c r="X18" s="79"/>
      <c r="Y18" s="79"/>
    </row>
    <row r="19" spans="5:27" x14ac:dyDescent="0.35">
      <c r="E19" s="78" t="s">
        <v>550</v>
      </c>
      <c r="J19" s="79"/>
      <c r="K19" s="79"/>
      <c r="L19" s="79"/>
      <c r="M19" s="79"/>
      <c r="N19" s="79"/>
      <c r="O19" s="79"/>
      <c r="P19" s="79"/>
      <c r="Q19" s="79"/>
      <c r="R19" s="79"/>
      <c r="S19" s="79"/>
      <c r="T19" s="79"/>
      <c r="U19" s="79"/>
      <c r="V19" s="79"/>
      <c r="W19" s="79"/>
      <c r="X19" s="79"/>
      <c r="Y19" s="79"/>
    </row>
    <row r="20" spans="5:27" x14ac:dyDescent="0.35">
      <c r="E20" s="24" t="s">
        <v>551</v>
      </c>
      <c r="J20" s="79"/>
      <c r="K20" s="79"/>
      <c r="L20" s="79"/>
      <c r="M20" s="79"/>
      <c r="N20" s="79"/>
      <c r="O20" s="79"/>
      <c r="P20" s="79"/>
      <c r="Q20" s="79"/>
      <c r="R20" s="79"/>
      <c r="S20" s="79"/>
      <c r="T20" s="79"/>
      <c r="U20" s="79"/>
      <c r="V20" s="79"/>
      <c r="W20" s="79"/>
      <c r="X20" s="79"/>
      <c r="Y20" s="79"/>
    </row>
    <row r="21" spans="5:27" x14ac:dyDescent="0.35">
      <c r="E21" s="78"/>
      <c r="F21" s="19" t="s">
        <v>375</v>
      </c>
      <c r="G21" s="19" t="s">
        <v>261</v>
      </c>
      <c r="H21" s="164"/>
      <c r="I21" s="19"/>
      <c r="J21" s="114">
        <f>'Inputs by customer type'!J187</f>
        <v>423.85531050027987</v>
      </c>
      <c r="K21" s="114">
        <f>'Inputs by customer type'!K187</f>
        <v>0</v>
      </c>
      <c r="L21" s="114">
        <f>'Inputs by customer type'!L187</f>
        <v>867.80010243660013</v>
      </c>
      <c r="M21" s="114">
        <f>'Inputs by customer type'!M187</f>
        <v>0</v>
      </c>
      <c r="N21" s="114">
        <f>'Inputs by customer type'!N187</f>
        <v>2572.1822023595005</v>
      </c>
      <c r="O21" s="114">
        <f>'Inputs by customer type'!O187</f>
        <v>6597.9134244200004</v>
      </c>
      <c r="P21" s="114">
        <f>'Inputs by customer type'!P187</f>
        <v>0</v>
      </c>
      <c r="Q21" s="73"/>
      <c r="R21" s="114">
        <f>'Inputs by customer type'!R187</f>
        <v>0</v>
      </c>
      <c r="S21" s="114">
        <f>'Inputs by customer type'!S187</f>
        <v>0</v>
      </c>
      <c r="T21" s="114">
        <f>'Inputs by customer type'!T187</f>
        <v>0</v>
      </c>
      <c r="U21" s="114">
        <f>'Inputs by customer type'!U187</f>
        <v>0</v>
      </c>
      <c r="V21" s="114">
        <f>'Inputs by customer type'!V187</f>
        <v>0</v>
      </c>
      <c r="W21" s="114">
        <f>'Inputs by customer type'!W187</f>
        <v>0</v>
      </c>
      <c r="X21" s="114">
        <f>'Inputs by customer type'!X187</f>
        <v>0</v>
      </c>
      <c r="Y21" s="114">
        <f>'Inputs by customer type'!Y187</f>
        <v>0</v>
      </c>
    </row>
    <row r="22" spans="5:27" x14ac:dyDescent="0.35">
      <c r="E22" s="78"/>
      <c r="F22" t="s">
        <v>376</v>
      </c>
      <c r="G22" t="s">
        <v>261</v>
      </c>
      <c r="H22" s="41"/>
      <c r="J22" s="110">
        <f>'Inputs by customer type'!J188</f>
        <v>0</v>
      </c>
      <c r="K22" s="110">
        <f>'Inputs by customer type'!K188</f>
        <v>0</v>
      </c>
      <c r="L22" s="110">
        <f>'Inputs by customer type'!L188</f>
        <v>0</v>
      </c>
      <c r="M22" s="110">
        <f>'Inputs by customer type'!M188</f>
        <v>0</v>
      </c>
      <c r="N22" s="110">
        <f>'Inputs by customer type'!N188</f>
        <v>0</v>
      </c>
      <c r="O22" s="110">
        <f>'Inputs by customer type'!O188</f>
        <v>0</v>
      </c>
      <c r="P22" s="110">
        <f>'Inputs by customer type'!P188</f>
        <v>23585.1893584875</v>
      </c>
      <c r="Q22" s="69"/>
      <c r="R22" s="110">
        <f>'Inputs by customer type'!R188</f>
        <v>0</v>
      </c>
      <c r="S22" s="110">
        <f>'Inputs by customer type'!S188</f>
        <v>0</v>
      </c>
      <c r="T22" s="110">
        <f>'Inputs by customer type'!T188</f>
        <v>0</v>
      </c>
      <c r="U22" s="110">
        <f>'Inputs by customer type'!U188</f>
        <v>0</v>
      </c>
      <c r="V22" s="110">
        <f>'Inputs by customer type'!V188</f>
        <v>0</v>
      </c>
      <c r="W22" s="110">
        <f>'Inputs by customer type'!W188</f>
        <v>0</v>
      </c>
      <c r="X22" s="110">
        <f>'Inputs by customer type'!X188</f>
        <v>46956.273676054996</v>
      </c>
      <c r="Y22" s="110">
        <f>'Inputs by customer type'!Y188</f>
        <v>46956.273676054996</v>
      </c>
    </row>
    <row r="23" spans="5:27" x14ac:dyDescent="0.35">
      <c r="E23" s="78"/>
      <c r="F23" s="28" t="s">
        <v>552</v>
      </c>
      <c r="G23" s="28" t="s">
        <v>264</v>
      </c>
      <c r="H23" s="28"/>
      <c r="I23" s="28"/>
      <c r="J23" s="294"/>
      <c r="K23" s="294"/>
      <c r="L23" s="294"/>
      <c r="M23" s="294"/>
      <c r="N23" s="294"/>
      <c r="O23" s="294"/>
      <c r="P23" s="294"/>
      <c r="Q23" s="207">
        <f>'Inputs by customer type'!Q190</f>
        <v>885.61588889473251</v>
      </c>
      <c r="R23" s="294"/>
      <c r="S23" s="294"/>
      <c r="T23" s="294"/>
      <c r="U23" s="294"/>
      <c r="V23" s="294"/>
      <c r="W23" s="294"/>
      <c r="X23" s="294"/>
      <c r="Y23" s="294"/>
    </row>
    <row r="24" spans="5:27" x14ac:dyDescent="0.35">
      <c r="J24" s="79"/>
      <c r="K24" s="79"/>
      <c r="L24" s="79"/>
      <c r="M24" s="79"/>
      <c r="N24" s="79"/>
      <c r="O24" s="79"/>
      <c r="P24" s="79"/>
      <c r="Q24" s="79"/>
      <c r="R24" s="79"/>
      <c r="S24" s="79"/>
      <c r="T24" s="79"/>
      <c r="U24" s="79"/>
      <c r="V24" s="79"/>
      <c r="W24" s="79"/>
      <c r="X24" s="79"/>
      <c r="Y24" s="79"/>
    </row>
    <row r="25" spans="5:27" x14ac:dyDescent="0.35">
      <c r="E25" s="78" t="s">
        <v>553</v>
      </c>
      <c r="J25" s="79"/>
      <c r="K25" s="79"/>
      <c r="L25" s="79"/>
      <c r="M25" s="79"/>
      <c r="N25" s="79"/>
      <c r="O25" s="79"/>
      <c r="P25" s="79"/>
      <c r="Q25" s="79"/>
      <c r="R25" s="79"/>
      <c r="S25" s="79"/>
      <c r="T25" s="79"/>
      <c r="U25" s="79"/>
      <c r="V25" s="79"/>
      <c r="W25" s="79"/>
      <c r="X25" s="79"/>
      <c r="Y25" s="79"/>
    </row>
    <row r="26" spans="5:27" x14ac:dyDescent="0.35">
      <c r="E26" s="24" t="s">
        <v>554</v>
      </c>
      <c r="I26" t="s">
        <v>154</v>
      </c>
      <c r="J26" s="79"/>
      <c r="K26" s="79"/>
      <c r="L26" s="79"/>
      <c r="M26" s="79"/>
      <c r="N26" s="79"/>
      <c r="O26" s="79"/>
      <c r="P26" s="79"/>
      <c r="Q26" s="79"/>
      <c r="R26" s="79"/>
      <c r="S26" s="79"/>
      <c r="T26" s="79"/>
      <c r="U26" s="79"/>
      <c r="V26" s="79"/>
      <c r="W26" s="79"/>
      <c r="X26" s="79"/>
      <c r="Y26" s="79"/>
      <c r="AA26" t="s">
        <v>899</v>
      </c>
    </row>
    <row r="27" spans="5:27" x14ac:dyDescent="0.35">
      <c r="F27" s="19" t="s">
        <v>375</v>
      </c>
      <c r="G27" s="19" t="s">
        <v>277</v>
      </c>
      <c r="H27" s="119"/>
      <c r="I27" s="19"/>
      <c r="J27" s="116">
        <f t="shared" ref="J27:Y27" si="0">J21 * J$16</f>
        <v>1256106176.2185717</v>
      </c>
      <c r="K27" s="116">
        <f t="shared" si="0"/>
        <v>0</v>
      </c>
      <c r="L27" s="116">
        <f t="shared" si="0"/>
        <v>199165781.38968465</v>
      </c>
      <c r="M27" s="116">
        <f t="shared" si="0"/>
        <v>0</v>
      </c>
      <c r="N27" s="116">
        <f t="shared" si="0"/>
        <v>60175357.616554782</v>
      </c>
      <c r="O27" s="116">
        <f t="shared" si="0"/>
        <v>2299862.0695699882</v>
      </c>
      <c r="P27" s="116">
        <f t="shared" si="0"/>
        <v>0</v>
      </c>
      <c r="Q27" s="116">
        <f t="shared" si="0"/>
        <v>0</v>
      </c>
      <c r="R27" s="116">
        <f t="shared" si="0"/>
        <v>0</v>
      </c>
      <c r="S27" s="116">
        <f t="shared" si="0"/>
        <v>0</v>
      </c>
      <c r="T27" s="116">
        <f t="shared" si="0"/>
        <v>0</v>
      </c>
      <c r="U27" s="116">
        <f t="shared" si="0"/>
        <v>0</v>
      </c>
      <c r="V27" s="116">
        <f t="shared" si="0"/>
        <v>0</v>
      </c>
      <c r="W27" s="116">
        <f t="shared" si="0"/>
        <v>0</v>
      </c>
      <c r="X27" s="116">
        <f t="shared" si="0"/>
        <v>0</v>
      </c>
      <c r="Y27" s="116">
        <f t="shared" si="0"/>
        <v>0</v>
      </c>
    </row>
    <row r="28" spans="5:27" x14ac:dyDescent="0.35">
      <c r="F28" t="s">
        <v>376</v>
      </c>
      <c r="G28" t="s">
        <v>277</v>
      </c>
      <c r="H28" s="53"/>
      <c r="J28" s="88">
        <f t="shared" ref="J28:Y28" si="1">J22 * J$16</f>
        <v>0</v>
      </c>
      <c r="K28" s="88">
        <f t="shared" si="1"/>
        <v>0</v>
      </c>
      <c r="L28" s="88">
        <f t="shared" si="1"/>
        <v>0</v>
      </c>
      <c r="M28" s="88">
        <f t="shared" si="1"/>
        <v>0</v>
      </c>
      <c r="N28" s="88">
        <f t="shared" si="1"/>
        <v>0</v>
      </c>
      <c r="O28" s="88">
        <f t="shared" si="1"/>
        <v>0</v>
      </c>
      <c r="P28" s="88">
        <f t="shared" si="1"/>
        <v>43782806.883911446</v>
      </c>
      <c r="Q28" s="88">
        <f t="shared" si="1"/>
        <v>0</v>
      </c>
      <c r="R28" s="88">
        <f t="shared" si="1"/>
        <v>0</v>
      </c>
      <c r="S28" s="88">
        <f t="shared" si="1"/>
        <v>0</v>
      </c>
      <c r="T28" s="88">
        <f t="shared" si="1"/>
        <v>0</v>
      </c>
      <c r="U28" s="88">
        <f t="shared" si="1"/>
        <v>0</v>
      </c>
      <c r="V28" s="88">
        <f t="shared" si="1"/>
        <v>0</v>
      </c>
      <c r="W28" s="88">
        <f t="shared" si="1"/>
        <v>0</v>
      </c>
      <c r="X28" s="88">
        <f t="shared" si="1"/>
        <v>11001400.506747983</v>
      </c>
      <c r="Y28" s="88">
        <f t="shared" si="1"/>
        <v>0</v>
      </c>
    </row>
    <row r="29" spans="5:27" x14ac:dyDescent="0.35">
      <c r="F29" s="28" t="s">
        <v>552</v>
      </c>
      <c r="G29" s="28" t="s">
        <v>277</v>
      </c>
      <c r="H29" s="120"/>
      <c r="I29" s="28"/>
      <c r="J29" s="294"/>
      <c r="K29" s="294"/>
      <c r="L29" s="294"/>
      <c r="M29" s="294"/>
      <c r="N29" s="294"/>
      <c r="O29" s="294"/>
      <c r="P29" s="294"/>
      <c r="Q29" s="143">
        <f t="shared" ref="Q29" si="2">Q23 * Q$17</f>
        <v>164259038.50001958</v>
      </c>
      <c r="R29" s="294"/>
      <c r="S29" s="294"/>
      <c r="T29" s="294"/>
      <c r="U29" s="294"/>
      <c r="V29" s="294"/>
      <c r="W29" s="294"/>
      <c r="X29" s="294"/>
      <c r="Y29" s="294"/>
    </row>
    <row r="30" spans="5:27" x14ac:dyDescent="0.35">
      <c r="J30" s="79"/>
      <c r="K30" s="79"/>
      <c r="L30" s="79"/>
      <c r="M30" s="79"/>
      <c r="N30" s="79"/>
      <c r="O30" s="79"/>
      <c r="P30" s="79"/>
      <c r="Q30" s="79"/>
      <c r="R30" s="79"/>
      <c r="S30" s="79"/>
      <c r="T30" s="79"/>
      <c r="U30" s="79"/>
      <c r="V30" s="79"/>
      <c r="W30" s="79"/>
      <c r="X30" s="79"/>
      <c r="Y30" s="79"/>
    </row>
    <row r="31" spans="5:27" x14ac:dyDescent="0.35">
      <c r="E31" s="78" t="s">
        <v>555</v>
      </c>
      <c r="J31" s="79"/>
      <c r="K31" s="79"/>
      <c r="L31" s="79"/>
      <c r="M31" s="79"/>
      <c r="N31" s="79"/>
      <c r="O31" s="79"/>
      <c r="P31" s="79"/>
      <c r="Q31" s="79"/>
      <c r="R31" s="79"/>
      <c r="S31" s="79"/>
      <c r="T31" s="79"/>
      <c r="U31" s="79"/>
      <c r="V31" s="79"/>
      <c r="W31" s="79"/>
      <c r="X31" s="79"/>
      <c r="Y31" s="79"/>
    </row>
    <row r="32" spans="5:27" x14ac:dyDescent="0.35">
      <c r="E32" s="24" t="s">
        <v>556</v>
      </c>
      <c r="H32" s="118" t="s">
        <v>544</v>
      </c>
      <c r="J32" s="79"/>
      <c r="K32" s="79"/>
      <c r="L32" s="79"/>
      <c r="M32" s="79"/>
      <c r="N32" s="79"/>
      <c r="O32" s="79"/>
      <c r="P32" s="79"/>
      <c r="Q32" s="79"/>
      <c r="R32" s="79"/>
      <c r="S32" s="79"/>
      <c r="T32" s="79"/>
      <c r="U32" s="79"/>
      <c r="V32" s="79"/>
      <c r="W32" s="79"/>
      <c r="X32" s="79"/>
      <c r="Y32" s="79"/>
    </row>
    <row r="33" spans="2:43" x14ac:dyDescent="0.35">
      <c r="F33" s="19" t="s">
        <v>557</v>
      </c>
      <c r="G33" s="19" t="s">
        <v>277</v>
      </c>
      <c r="H33" s="91">
        <f>SUM(J33:Y33)</f>
        <v>1682006215.7944007</v>
      </c>
      <c r="I33" s="19"/>
      <c r="J33" s="148">
        <f t="shared" ref="J33:Y33" si="3">J27 +J29</f>
        <v>1256106176.2185717</v>
      </c>
      <c r="K33" s="148">
        <f t="shared" si="3"/>
        <v>0</v>
      </c>
      <c r="L33" s="148">
        <f t="shared" si="3"/>
        <v>199165781.38968465</v>
      </c>
      <c r="M33" s="148">
        <f t="shared" si="3"/>
        <v>0</v>
      </c>
      <c r="N33" s="148">
        <f t="shared" si="3"/>
        <v>60175357.616554782</v>
      </c>
      <c r="O33" s="148">
        <f t="shared" si="3"/>
        <v>2299862.0695699882</v>
      </c>
      <c r="P33" s="148">
        <f t="shared" si="3"/>
        <v>0</v>
      </c>
      <c r="Q33" s="148">
        <f t="shared" si="3"/>
        <v>164259038.50001958</v>
      </c>
      <c r="R33" s="148">
        <f t="shared" si="3"/>
        <v>0</v>
      </c>
      <c r="S33" s="148">
        <f t="shared" si="3"/>
        <v>0</v>
      </c>
      <c r="T33" s="148">
        <f t="shared" si="3"/>
        <v>0</v>
      </c>
      <c r="U33" s="148">
        <f t="shared" si="3"/>
        <v>0</v>
      </c>
      <c r="V33" s="148">
        <f t="shared" si="3"/>
        <v>0</v>
      </c>
      <c r="W33" s="148">
        <f t="shared" si="3"/>
        <v>0</v>
      </c>
      <c r="X33" s="148">
        <f t="shared" si="3"/>
        <v>0</v>
      </c>
      <c r="Y33" s="148">
        <f t="shared" si="3"/>
        <v>0</v>
      </c>
    </row>
    <row r="34" spans="2:43" x14ac:dyDescent="0.35">
      <c r="F34" s="28" t="s">
        <v>558</v>
      </c>
      <c r="G34" s="28" t="s">
        <v>277</v>
      </c>
      <c r="H34" s="121">
        <f>SUM(J34:Y34)</f>
        <v>54784207.390659429</v>
      </c>
      <c r="I34" s="28"/>
      <c r="J34" s="157">
        <f t="shared" ref="J34:Y34" si="4">J28</f>
        <v>0</v>
      </c>
      <c r="K34" s="157">
        <f t="shared" si="4"/>
        <v>0</v>
      </c>
      <c r="L34" s="157">
        <f t="shared" si="4"/>
        <v>0</v>
      </c>
      <c r="M34" s="157">
        <f t="shared" si="4"/>
        <v>0</v>
      </c>
      <c r="N34" s="157">
        <f t="shared" si="4"/>
        <v>0</v>
      </c>
      <c r="O34" s="157">
        <f t="shared" si="4"/>
        <v>0</v>
      </c>
      <c r="P34" s="157">
        <f t="shared" si="4"/>
        <v>43782806.883911446</v>
      </c>
      <c r="Q34" s="157">
        <f t="shared" si="4"/>
        <v>0</v>
      </c>
      <c r="R34" s="157">
        <f t="shared" si="4"/>
        <v>0</v>
      </c>
      <c r="S34" s="157">
        <f t="shared" si="4"/>
        <v>0</v>
      </c>
      <c r="T34" s="157">
        <f t="shared" si="4"/>
        <v>0</v>
      </c>
      <c r="U34" s="157">
        <f t="shared" si="4"/>
        <v>0</v>
      </c>
      <c r="V34" s="157">
        <f t="shared" si="4"/>
        <v>0</v>
      </c>
      <c r="W34" s="157">
        <f t="shared" si="4"/>
        <v>0</v>
      </c>
      <c r="X34" s="157">
        <f t="shared" si="4"/>
        <v>11001400.506747983</v>
      </c>
      <c r="Y34" s="157">
        <f t="shared" si="4"/>
        <v>0</v>
      </c>
    </row>
    <row r="36" spans="2:43" x14ac:dyDescent="0.35">
      <c r="B36" s="25" t="s">
        <v>231</v>
      </c>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C36" s="25"/>
      <c r="AD36" s="25"/>
      <c r="AE36" s="25"/>
      <c r="AF36" s="25"/>
      <c r="AG36" s="25"/>
      <c r="AH36" s="25"/>
      <c r="AI36" s="25"/>
      <c r="AJ36" s="25"/>
      <c r="AK36" s="25"/>
      <c r="AL36" s="25"/>
      <c r="AM36" s="25"/>
      <c r="AN36" s="25"/>
      <c r="AO36" s="25"/>
      <c r="AQ36" s="25"/>
    </row>
    <row r="38" spans="2:43" x14ac:dyDescent="0.35">
      <c r="E38" t="s">
        <v>232</v>
      </c>
      <c r="G38" s="6" t="s">
        <v>55</v>
      </c>
      <c r="H38" s="93">
        <f t="array" ref="H38">SUM(IF(ISERROR(H16:Y35), 1))</f>
        <v>0</v>
      </c>
    </row>
    <row r="40" spans="2:43" x14ac:dyDescent="0.35">
      <c r="B40" s="25" t="s">
        <v>106</v>
      </c>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C40" s="25"/>
      <c r="AD40" s="25"/>
      <c r="AE40" s="25"/>
      <c r="AF40" s="25"/>
      <c r="AG40" s="25"/>
      <c r="AH40" s="25"/>
      <c r="AI40" s="25"/>
      <c r="AJ40" s="25"/>
      <c r="AK40" s="25"/>
      <c r="AL40" s="25"/>
      <c r="AM40" s="25"/>
      <c r="AN40" s="25"/>
      <c r="AO40" s="25"/>
      <c r="AQ40" s="25"/>
    </row>
  </sheetData>
  <sheetProtection sheet="1" objects="1" formatCells="0" formatColumns="0" formatRows="0" sort="0" autoFilter="0"/>
  <conditionalFormatting sqref="A4:I4 Z4:XFD4">
    <cfRule type="expression" dxfId="135" priority="10">
      <formula>LEFT($A$4,1) &lt;&gt; "0"</formula>
    </cfRule>
  </conditionalFormatting>
  <conditionalFormatting sqref="N4:P4">
    <cfRule type="expression" dxfId="134" priority="9">
      <formula>LEFT($A$4,1) &lt;&gt; "0"</formula>
    </cfRule>
  </conditionalFormatting>
  <conditionalFormatting sqref="L4:M4">
    <cfRule type="expression" dxfId="133" priority="8">
      <formula>LEFT($A$4,1) &lt;&gt; "0"</formula>
    </cfRule>
  </conditionalFormatting>
  <conditionalFormatting sqref="J4:K4">
    <cfRule type="expression" dxfId="132" priority="7">
      <formula>LEFT($A$4,1) &lt;&gt; "0"</formula>
    </cfRule>
  </conditionalFormatting>
  <conditionalFormatting sqref="Q4">
    <cfRule type="expression" dxfId="131" priority="6">
      <formula>LEFT($A$4,1) &lt;&gt; "0"</formula>
    </cfRule>
  </conditionalFormatting>
  <conditionalFormatting sqref="R4:S4">
    <cfRule type="expression" dxfId="130" priority="5">
      <formula>LEFT($A$4,1) &lt;&gt; "0"</formula>
    </cfRule>
  </conditionalFormatting>
  <conditionalFormatting sqref="T4:U4">
    <cfRule type="expression" dxfId="129" priority="4">
      <formula>LEFT($A$4,1) &lt;&gt; "0"</formula>
    </cfRule>
  </conditionalFormatting>
  <conditionalFormatting sqref="V4:W4">
    <cfRule type="expression" dxfId="128" priority="3">
      <formula>LEFT($A$4,1) &lt;&gt; "0"</formula>
    </cfRule>
  </conditionalFormatting>
  <conditionalFormatting sqref="X4:Y4">
    <cfRule type="expression" dxfId="127" priority="2">
      <formula>LEFT($A$4,1) &lt;&gt; "0"</formula>
    </cfRule>
  </conditionalFormatting>
  <conditionalFormatting sqref="H38">
    <cfRule type="cellIs" dxfId="126"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xr:uid="{00000000-0002-0000-0F00-000000000000}">
      <formula1>0</formula1>
    </dataValidation>
    <dataValidation type="textLength" operator="equal" allowBlank="1" showInputMessage="1" showErrorMessage="1" error="This cell is not in use." sqref="Y23 Y29" xr:uid="{00000000-0002-0000-0F00-000001000000}">
      <formula1>0</formula1>
    </dataValidation>
  </dataValidations>
  <hyperlinks>
    <hyperlink ref="B5:F5" location="'Model map'!A1" display="Click here to return to model map" xr:uid="{00000000-0004-0000-0F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21" width="17" customWidth="1"/>
    <col min="22" max="22" width="2.453125" customWidth="1"/>
    <col min="23" max="23" width="50.54296875" customWidth="1"/>
    <col min="24" max="24" width="2.453125" customWidth="1"/>
    <col min="25" max="42" width="17" hidden="1" customWidth="1"/>
    <col min="43" max="43" width="2.453125" hidden="1" customWidth="1"/>
    <col min="44" max="44" width="18.453125" hidden="1" customWidth="1"/>
    <col min="45" max="45" width="4.453125" hidden="1" customWidth="1"/>
    <col min="46" max="266" width="24.54296875" hidden="1" customWidth="1"/>
    <col min="267" max="16384" width="8.54296875" hidden="1"/>
  </cols>
  <sheetData>
    <row r="1" spans="1:23" s="1" customFormat="1" x14ac:dyDescent="0.35">
      <c r="A1" s="1" t="str">
        <f ca="1">MID(CELL("filename",A1),FIND("]",CELL("filename",A1))+1,255)</f>
        <v>Unit costs</v>
      </c>
    </row>
    <row r="2" spans="1:23" s="1" customFormat="1" x14ac:dyDescent="0.35">
      <c r="A2" s="1" t="str">
        <f>Cover!D21&amp;" - "&amp;Cover!D23</f>
        <v>Southern Electric Power Distribution - Final</v>
      </c>
    </row>
    <row r="3" spans="1:23" s="5" customFormat="1" x14ac:dyDescent="0.35">
      <c r="A3" s="5" t="str">
        <f>Cover!D2&amp;" - "&amp;Cover!D8&amp;" v"&amp;Cover!D10&amp;" - "&amp;Cover!D19</f>
        <v>CDCM charging model - Release for charge setting v9 - 2024/25</v>
      </c>
    </row>
    <row r="4" spans="1:23" x14ac:dyDescent="0.35">
      <c r="A4" s="11" t="str">
        <f>H131 &amp; IF(H131 = 1, " issue", " issues") &amp;" identified in checks on this sheet"</f>
        <v>0 issues identified in checks on this sheet</v>
      </c>
      <c r="B4" s="12"/>
      <c r="C4" s="12"/>
      <c r="D4" s="12"/>
      <c r="E4" s="12"/>
      <c r="F4" s="12"/>
      <c r="G4" s="12"/>
      <c r="H4" s="13"/>
      <c r="I4" s="13"/>
      <c r="J4" s="12"/>
    </row>
    <row r="5" spans="1:23" x14ac:dyDescent="0.35">
      <c r="B5" s="49" t="s">
        <v>142</v>
      </c>
      <c r="C5" s="50"/>
      <c r="D5" s="50"/>
      <c r="E5" s="50"/>
      <c r="F5" s="50"/>
      <c r="G5" s="51" t="s">
        <v>143</v>
      </c>
      <c r="H5" s="52" t="s">
        <v>144</v>
      </c>
      <c r="I5" s="103"/>
      <c r="J5" s="83" t="s">
        <v>189</v>
      </c>
      <c r="K5" s="104" t="s">
        <v>191</v>
      </c>
      <c r="L5" s="104" t="s">
        <v>192</v>
      </c>
      <c r="M5" s="104" t="s">
        <v>193</v>
      </c>
      <c r="N5" s="104" t="s">
        <v>194</v>
      </c>
      <c r="O5" s="104" t="s">
        <v>195</v>
      </c>
      <c r="P5" s="104" t="s">
        <v>196</v>
      </c>
      <c r="Q5" s="104" t="s">
        <v>197</v>
      </c>
      <c r="R5" s="104" t="s">
        <v>198</v>
      </c>
      <c r="S5" s="104" t="s">
        <v>199</v>
      </c>
      <c r="T5" s="104" t="s">
        <v>375</v>
      </c>
      <c r="U5" s="104" t="s">
        <v>376</v>
      </c>
      <c r="W5" s="50" t="s">
        <v>145</v>
      </c>
    </row>
    <row r="6" spans="1:23" x14ac:dyDescent="0.35">
      <c r="H6" s="3"/>
      <c r="I6" s="3"/>
      <c r="J6" s="3"/>
      <c r="K6" s="3"/>
      <c r="L6" s="3"/>
      <c r="M6" s="3"/>
      <c r="N6" s="3"/>
      <c r="O6" s="3"/>
      <c r="P6" s="3"/>
      <c r="Q6" s="3"/>
      <c r="R6" s="3"/>
      <c r="S6" s="3"/>
      <c r="T6" s="3"/>
      <c r="U6" s="3"/>
      <c r="W6" s="3"/>
    </row>
    <row r="7" spans="1:23" x14ac:dyDescent="0.35">
      <c r="B7" s="25" t="s">
        <v>10</v>
      </c>
      <c r="C7" s="25"/>
      <c r="D7" s="25"/>
      <c r="E7" s="25"/>
      <c r="F7" s="25"/>
      <c r="G7" s="25"/>
      <c r="H7" s="25"/>
      <c r="I7" s="25"/>
      <c r="J7" s="25"/>
      <c r="K7" s="25"/>
      <c r="L7" s="25"/>
      <c r="M7" s="25"/>
      <c r="N7" s="25"/>
      <c r="O7" s="25"/>
      <c r="P7" s="25"/>
      <c r="Q7" s="25"/>
      <c r="R7" s="25"/>
      <c r="S7" s="25"/>
      <c r="T7" s="25"/>
      <c r="U7" s="25"/>
      <c r="V7" s="25"/>
      <c r="W7" s="25"/>
    </row>
    <row r="9" spans="1:23" x14ac:dyDescent="0.35">
      <c r="C9" s="24" t="s">
        <v>559</v>
      </c>
      <c r="D9" s="24"/>
    </row>
    <row r="10" spans="1:23" x14ac:dyDescent="0.35">
      <c r="C10" s="24" t="s">
        <v>560</v>
      </c>
      <c r="D10" s="24"/>
    </row>
    <row r="11" spans="1:23" x14ac:dyDescent="0.35">
      <c r="C11" s="24"/>
      <c r="D11" s="24" t="s">
        <v>561</v>
      </c>
    </row>
    <row r="12" spans="1:23" x14ac:dyDescent="0.35">
      <c r="C12" s="24"/>
      <c r="D12" s="24" t="s">
        <v>562</v>
      </c>
    </row>
    <row r="13" spans="1:23" x14ac:dyDescent="0.35">
      <c r="C13" s="24" t="s">
        <v>563</v>
      </c>
      <c r="D13" s="24"/>
    </row>
    <row r="15" spans="1:23" x14ac:dyDescent="0.35">
      <c r="B15" s="25" t="s">
        <v>564</v>
      </c>
      <c r="C15" s="25"/>
      <c r="D15" s="25"/>
      <c r="E15" s="25"/>
      <c r="F15" s="25"/>
      <c r="G15" s="25"/>
      <c r="H15" s="25"/>
      <c r="I15" s="25"/>
      <c r="J15" s="25"/>
      <c r="K15" s="25"/>
      <c r="L15" s="25"/>
      <c r="M15" s="25"/>
      <c r="N15" s="25"/>
      <c r="O15" s="25"/>
      <c r="P15" s="25"/>
      <c r="Q15" s="25"/>
      <c r="R15" s="25"/>
      <c r="S15" s="25"/>
      <c r="T15" s="25"/>
      <c r="U15" s="25"/>
      <c r="V15" s="25"/>
      <c r="W15" s="25"/>
    </row>
    <row r="16" spans="1:23" x14ac:dyDescent="0.35">
      <c r="H16" s="3"/>
      <c r="I16" s="3"/>
      <c r="J16" s="3"/>
      <c r="K16" s="3"/>
      <c r="L16" s="3"/>
      <c r="M16" s="3"/>
      <c r="N16" s="3"/>
      <c r="O16" s="3"/>
      <c r="P16" s="3"/>
      <c r="Q16" s="3"/>
      <c r="R16" s="3"/>
      <c r="S16" s="3"/>
      <c r="T16" s="3"/>
      <c r="U16" s="3"/>
      <c r="W16" s="3"/>
    </row>
    <row r="17" spans="3:25" x14ac:dyDescent="0.35">
      <c r="C17" s="24" t="s">
        <v>565</v>
      </c>
    </row>
    <row r="18" spans="3:25" x14ac:dyDescent="0.35">
      <c r="H18" s="3"/>
      <c r="I18" s="3"/>
      <c r="J18" s="3"/>
      <c r="K18" s="3"/>
      <c r="L18" s="3"/>
      <c r="M18" s="3"/>
      <c r="N18" s="3"/>
      <c r="O18" s="3"/>
      <c r="P18" s="3"/>
      <c r="Q18" s="3"/>
      <c r="R18" s="3"/>
      <c r="S18" s="3"/>
      <c r="T18" s="3"/>
      <c r="U18" s="3"/>
      <c r="W18" s="3"/>
    </row>
    <row r="19" spans="3:25" x14ac:dyDescent="0.35">
      <c r="C19" s="26" t="str">
        <f ca="1">INDEX('Version control'!$H$38:$H$61,MATCH($A$1,'Version control'!$F$38:$F$61,0),1)&amp;"-A: Financial data"</f>
        <v>Section 108-A: Financial data</v>
      </c>
      <c r="D19" s="26"/>
      <c r="E19" s="26"/>
      <c r="F19" s="26"/>
      <c r="G19" s="26"/>
      <c r="H19" s="165"/>
      <c r="I19" s="165"/>
      <c r="J19" s="165"/>
      <c r="K19" s="165"/>
      <c r="L19" s="165"/>
      <c r="M19" s="165"/>
      <c r="N19" s="165"/>
      <c r="O19" s="165"/>
      <c r="P19" s="165"/>
      <c r="Q19" s="165"/>
      <c r="R19" s="165"/>
      <c r="S19" s="165"/>
      <c r="T19" s="165"/>
      <c r="U19" s="165"/>
      <c r="V19" s="26"/>
      <c r="W19" s="165"/>
    </row>
    <row r="20" spans="3:25" x14ac:dyDescent="0.35">
      <c r="H20" s="3"/>
    </row>
    <row r="21" spans="3:25" x14ac:dyDescent="0.35">
      <c r="D21" s="24" t="s">
        <v>566</v>
      </c>
      <c r="I21" s="3" t="s">
        <v>154</v>
      </c>
      <c r="J21" s="3"/>
      <c r="K21" s="3"/>
      <c r="L21" s="3"/>
      <c r="M21" s="3"/>
      <c r="N21" s="3"/>
      <c r="O21" s="3"/>
      <c r="P21" s="3"/>
      <c r="Q21" s="3"/>
      <c r="R21" s="3"/>
      <c r="S21" s="3"/>
      <c r="T21" s="3"/>
      <c r="U21" s="3"/>
      <c r="W21" s="3" t="s">
        <v>165</v>
      </c>
    </row>
    <row r="22" spans="3:25" x14ac:dyDescent="0.35">
      <c r="D22" s="24"/>
    </row>
    <row r="23" spans="3:25" x14ac:dyDescent="0.35">
      <c r="D23" s="78"/>
      <c r="E23" s="23" t="s">
        <v>352</v>
      </c>
      <c r="G23" s="23" t="s">
        <v>167</v>
      </c>
      <c r="H23" s="106">
        <f>'General inputs'!H92</f>
        <v>3.7400000000000003E-2</v>
      </c>
      <c r="I23" s="3"/>
      <c r="J23" s="3"/>
      <c r="K23" s="3"/>
      <c r="L23" s="3"/>
      <c r="M23" s="3"/>
      <c r="N23" s="3"/>
      <c r="O23" s="3"/>
      <c r="P23" s="3"/>
      <c r="Q23" s="3"/>
      <c r="R23" s="3"/>
      <c r="S23" s="3"/>
      <c r="T23" s="3"/>
      <c r="U23" s="3"/>
    </row>
    <row r="24" spans="3:25" x14ac:dyDescent="0.35">
      <c r="D24" s="78"/>
      <c r="E24" s="23" t="s">
        <v>163</v>
      </c>
      <c r="G24" s="23" t="s">
        <v>164</v>
      </c>
      <c r="H24" s="42">
        <f>'Fixed inputs'!H35</f>
        <v>40</v>
      </c>
      <c r="I24" s="3"/>
      <c r="J24" s="3"/>
      <c r="K24" s="3"/>
      <c r="L24" s="3"/>
      <c r="M24" s="3"/>
      <c r="N24" s="3"/>
      <c r="O24" s="3"/>
      <c r="P24" s="3"/>
      <c r="Q24" s="3"/>
      <c r="R24" s="3"/>
      <c r="S24" s="3"/>
      <c r="T24" s="3"/>
      <c r="U24" s="3"/>
      <c r="W24" s="3"/>
    </row>
    <row r="25" spans="3:25" x14ac:dyDescent="0.35">
      <c r="E25" s="23" t="s">
        <v>567</v>
      </c>
      <c r="G25" s="23" t="s">
        <v>167</v>
      </c>
      <c r="H25" s="166">
        <f>H23 / (1 - (1 + H23) ^ -H24)</f>
        <v>4.8585551125484371E-2</v>
      </c>
      <c r="I25" s="3"/>
      <c r="J25" s="3"/>
      <c r="K25" s="3"/>
      <c r="L25" s="3"/>
      <c r="M25" s="3"/>
      <c r="N25" s="3"/>
      <c r="O25" s="3"/>
      <c r="P25" s="3"/>
      <c r="Q25" s="3"/>
      <c r="R25" s="3"/>
      <c r="S25" s="3"/>
      <c r="T25" s="3"/>
      <c r="U25" s="3"/>
      <c r="W25" s="3"/>
    </row>
    <row r="26" spans="3:25" x14ac:dyDescent="0.35">
      <c r="H26" s="3"/>
      <c r="I26" s="3"/>
      <c r="J26" s="3"/>
      <c r="K26" s="3"/>
      <c r="L26" s="3"/>
      <c r="M26" s="3"/>
      <c r="N26" s="3"/>
      <c r="O26" s="3"/>
      <c r="P26" s="3"/>
      <c r="Q26" s="3"/>
      <c r="R26" s="3"/>
      <c r="S26" s="3"/>
      <c r="T26" s="3"/>
      <c r="U26" s="3"/>
      <c r="W26" s="3"/>
    </row>
    <row r="27" spans="3:25" x14ac:dyDescent="0.35">
      <c r="C27" s="26" t="str">
        <f ca="1">INDEX('Version control'!$H$38:$H$61,MATCH($A$1,'Version control'!$F$38:$F$61,0),1)&amp;"-B: Diversity and loss adjustment factors"</f>
        <v>Section 108-B: Diversity and loss adjustment factors</v>
      </c>
      <c r="D27" s="26"/>
      <c r="E27" s="26"/>
      <c r="F27" s="26"/>
      <c r="G27" s="26"/>
      <c r="H27" s="165"/>
      <c r="I27" s="165"/>
      <c r="J27" s="165"/>
      <c r="K27" s="165"/>
      <c r="L27" s="165"/>
      <c r="M27" s="165"/>
      <c r="N27" s="165"/>
      <c r="O27" s="165"/>
      <c r="P27" s="165"/>
      <c r="Q27" s="165"/>
      <c r="R27" s="165"/>
      <c r="S27" s="165"/>
      <c r="T27" s="165"/>
      <c r="U27" s="165"/>
      <c r="V27" s="26"/>
      <c r="W27" s="165"/>
    </row>
    <row r="28" spans="3:25" x14ac:dyDescent="0.35">
      <c r="E28" s="27"/>
      <c r="F28" s="105"/>
      <c r="H28" s="3"/>
      <c r="I28" s="3"/>
      <c r="J28" s="3"/>
      <c r="K28" s="3"/>
      <c r="L28" s="3"/>
      <c r="M28" s="3"/>
      <c r="N28" s="3"/>
      <c r="O28" s="3"/>
      <c r="P28" s="3"/>
      <c r="Q28" s="3"/>
      <c r="R28" s="3"/>
      <c r="S28" s="3"/>
      <c r="T28" s="3"/>
      <c r="U28" s="3"/>
    </row>
    <row r="29" spans="3:25" x14ac:dyDescent="0.35">
      <c r="D29" s="24" t="s">
        <v>568</v>
      </c>
      <c r="F29" s="105"/>
      <c r="H29" s="3"/>
      <c r="I29" s="3"/>
      <c r="J29" s="3"/>
      <c r="K29" s="3"/>
      <c r="L29" s="3"/>
      <c r="M29" s="3"/>
      <c r="N29" s="3"/>
      <c r="O29" s="3"/>
      <c r="P29" s="3"/>
      <c r="Q29" s="3"/>
      <c r="R29" s="3"/>
      <c r="S29" s="3"/>
      <c r="T29" s="3"/>
      <c r="U29" s="3"/>
    </row>
    <row r="30" spans="3:25" x14ac:dyDescent="0.35">
      <c r="D30" s="24"/>
      <c r="F30" s="105"/>
      <c r="H30" s="3"/>
      <c r="I30" s="3"/>
      <c r="J30" s="3"/>
      <c r="K30" s="3"/>
      <c r="L30" s="3"/>
      <c r="M30" s="3"/>
      <c r="N30" s="3"/>
      <c r="O30" s="3"/>
      <c r="P30" s="3"/>
      <c r="Q30" s="3"/>
      <c r="R30" s="3"/>
      <c r="S30" s="3"/>
      <c r="T30" s="3"/>
      <c r="U30" s="3"/>
    </row>
    <row r="31" spans="3:25" x14ac:dyDescent="0.35">
      <c r="E31" t="s">
        <v>569</v>
      </c>
      <c r="F31" s="109"/>
      <c r="G31" s="23" t="s">
        <v>570</v>
      </c>
      <c r="H31" s="3"/>
      <c r="I31" s="3"/>
      <c r="J31" s="69"/>
      <c r="K31" s="110">
        <f>'Load &amp; loss characteristics'!K29</f>
        <v>1</v>
      </c>
      <c r="L31" s="110">
        <f>'Load &amp; loss characteristics'!L29</f>
        <v>1.004</v>
      </c>
      <c r="M31" s="110">
        <f>'Load &amp; loss characteristics'!M29</f>
        <v>1.008</v>
      </c>
      <c r="N31" s="110">
        <f>'Load &amp; loss characteristics'!N29</f>
        <v>1.0129999999999999</v>
      </c>
      <c r="O31" s="110">
        <f>'Load &amp; loss characteristics'!O29</f>
        <v>1.018</v>
      </c>
      <c r="P31" s="110">
        <f>'Load &amp; loss characteristics'!P29</f>
        <v>1.018</v>
      </c>
      <c r="Q31" s="110">
        <f>'Load &amp; loss characteristics'!Q29</f>
        <v>1.0269999999999999</v>
      </c>
      <c r="R31" s="110">
        <f>'Load &amp; loss characteristics'!R29</f>
        <v>1.0429999999999999</v>
      </c>
      <c r="S31" s="110">
        <f>'Load &amp; loss characteristics'!S29</f>
        <v>1.0900000000000001</v>
      </c>
      <c r="T31" s="69"/>
      <c r="U31" s="69"/>
    </row>
    <row r="32" spans="3:25" x14ac:dyDescent="0.35">
      <c r="E32" t="s">
        <v>571</v>
      </c>
      <c r="F32" s="167"/>
      <c r="G32" s="23" t="s">
        <v>167</v>
      </c>
      <c r="H32" s="3"/>
      <c r="I32" s="3"/>
      <c r="J32" s="168"/>
      <c r="K32" s="169">
        <f>'Load &amp; loss characteristics'!$K$23</f>
        <v>4.4943759092979985E-2</v>
      </c>
      <c r="L32" s="170"/>
      <c r="M32" s="170"/>
      <c r="N32" s="170"/>
      <c r="O32" s="170"/>
      <c r="P32" s="168"/>
      <c r="Q32" s="170"/>
      <c r="R32" s="170"/>
      <c r="S32" s="170"/>
      <c r="T32" s="168"/>
      <c r="U32" s="168"/>
      <c r="Y32" s="171"/>
    </row>
    <row r="33" spans="3:23" x14ac:dyDescent="0.35">
      <c r="E33" t="s">
        <v>572</v>
      </c>
      <c r="F33" s="109"/>
      <c r="G33" s="23" t="s">
        <v>167</v>
      </c>
      <c r="H33" s="3"/>
      <c r="I33" s="3"/>
      <c r="J33" s="60"/>
      <c r="K33" s="166">
        <f xml:space="preserve"> 1 / (1 + K32)</f>
        <v>0.95698930329801524</v>
      </c>
      <c r="L33" s="170"/>
      <c r="M33" s="170"/>
      <c r="N33" s="170"/>
      <c r="O33" s="170"/>
      <c r="P33" s="170"/>
      <c r="Q33" s="170"/>
      <c r="R33" s="170"/>
      <c r="S33" s="170"/>
      <c r="T33" s="168"/>
      <c r="U33" s="168"/>
      <c r="W33" s="3"/>
    </row>
    <row r="34" spans="3:23" x14ac:dyDescent="0.35">
      <c r="F34" s="109"/>
      <c r="G34" s="23"/>
      <c r="H34" s="3"/>
      <c r="I34" s="3"/>
      <c r="J34" s="3"/>
      <c r="K34" s="3"/>
      <c r="L34" s="3"/>
      <c r="M34" s="3"/>
      <c r="N34" s="3"/>
      <c r="O34" s="3"/>
      <c r="P34" s="3"/>
      <c r="Q34" s="3"/>
      <c r="R34" s="3"/>
      <c r="S34" s="3"/>
      <c r="T34" s="3"/>
      <c r="U34" s="3"/>
      <c r="V34" s="3"/>
      <c r="W34" s="3"/>
    </row>
    <row r="35" spans="3:23" x14ac:dyDescent="0.35">
      <c r="C35" s="26" t="str">
        <f ca="1">INDEX('Version control'!$H$38:$H$61,MATCH($A$1,'Version control'!$F$38:$F$61,0),1)&amp;"-C: Maximum demand"</f>
        <v>Section 108-C: Maximum demand</v>
      </c>
      <c r="D35" s="26"/>
      <c r="E35" s="26"/>
      <c r="F35" s="26"/>
      <c r="G35" s="26"/>
      <c r="H35" s="165"/>
      <c r="I35" s="165"/>
      <c r="J35" s="165"/>
      <c r="K35" s="165"/>
      <c r="L35" s="165"/>
      <c r="M35" s="165"/>
      <c r="N35" s="165"/>
      <c r="O35" s="165"/>
      <c r="P35" s="165"/>
      <c r="Q35" s="165"/>
      <c r="R35" s="165"/>
      <c r="S35" s="165"/>
      <c r="T35" s="165"/>
      <c r="U35" s="165"/>
      <c r="V35" s="26"/>
      <c r="W35" s="165"/>
    </row>
    <row r="36" spans="3:23" x14ac:dyDescent="0.35">
      <c r="E36" s="27"/>
      <c r="F36" s="105"/>
      <c r="H36" s="3"/>
      <c r="J36" s="3"/>
      <c r="K36" s="3"/>
      <c r="L36" s="3"/>
      <c r="M36" s="3"/>
      <c r="N36" s="3"/>
      <c r="O36" s="3"/>
      <c r="P36" s="3"/>
      <c r="Q36" s="3"/>
      <c r="R36" s="3"/>
      <c r="S36" s="3"/>
      <c r="T36" s="3"/>
      <c r="U36" s="3"/>
    </row>
    <row r="37" spans="3:23" x14ac:dyDescent="0.35">
      <c r="D37" s="24" t="s">
        <v>573</v>
      </c>
      <c r="F37" s="105"/>
      <c r="H37" s="3"/>
      <c r="I37" s="3"/>
      <c r="J37" s="3"/>
      <c r="K37" s="3"/>
      <c r="L37" s="3"/>
      <c r="M37" s="3"/>
      <c r="N37" s="3"/>
      <c r="O37" s="3"/>
      <c r="P37" s="3"/>
      <c r="Q37" s="3"/>
      <c r="R37" s="3"/>
      <c r="S37" s="3"/>
      <c r="T37" s="3"/>
      <c r="U37" s="3"/>
      <c r="W37" s="3"/>
    </row>
    <row r="38" spans="3:23" x14ac:dyDescent="0.35">
      <c r="D38" s="24"/>
      <c r="F38" s="105"/>
      <c r="H38" s="3"/>
      <c r="I38" s="3"/>
      <c r="J38" s="3"/>
      <c r="K38" s="3"/>
      <c r="L38" s="3"/>
      <c r="M38" s="3"/>
      <c r="N38" s="3"/>
      <c r="O38" s="3"/>
      <c r="P38" s="3"/>
      <c r="Q38" s="3"/>
      <c r="R38" s="3"/>
      <c r="S38" s="3"/>
      <c r="T38" s="3"/>
      <c r="U38" s="3"/>
      <c r="W38" s="3"/>
    </row>
    <row r="39" spans="3:23" x14ac:dyDescent="0.35">
      <c r="D39" s="78"/>
      <c r="E39" t="s">
        <v>171</v>
      </c>
      <c r="F39" s="109"/>
      <c r="G39" s="23" t="s">
        <v>172</v>
      </c>
      <c r="H39" s="110">
        <f>'Fixed inputs'!H41</f>
        <v>500</v>
      </c>
      <c r="I39" s="3"/>
      <c r="J39" s="69"/>
      <c r="K39" s="69"/>
      <c r="L39" s="69"/>
      <c r="M39" s="69"/>
      <c r="N39" s="69"/>
      <c r="O39" s="69"/>
      <c r="P39" s="69"/>
      <c r="Q39" s="69"/>
      <c r="R39" s="69"/>
      <c r="S39" s="69"/>
      <c r="T39" s="69"/>
      <c r="U39" s="69"/>
      <c r="W39" s="3"/>
    </row>
    <row r="40" spans="3:23" x14ac:dyDescent="0.35">
      <c r="E40" t="s">
        <v>574</v>
      </c>
      <c r="F40" s="109"/>
      <c r="G40" s="23" t="s">
        <v>172</v>
      </c>
      <c r="H40" s="3"/>
      <c r="I40" s="3" t="s">
        <v>154</v>
      </c>
      <c r="J40" s="69"/>
      <c r="K40" s="172">
        <f t="shared" ref="K40:S40" si="0">$H$39 * $K$33 / K31</f>
        <v>478.49465164900761</v>
      </c>
      <c r="L40" s="172">
        <f t="shared" si="0"/>
        <v>476.58829845518687</v>
      </c>
      <c r="M40" s="172">
        <f t="shared" si="0"/>
        <v>474.69707504861867</v>
      </c>
      <c r="N40" s="172">
        <f t="shared" si="0"/>
        <v>472.35404901185353</v>
      </c>
      <c r="O40" s="172">
        <f t="shared" si="0"/>
        <v>470.03403894794462</v>
      </c>
      <c r="P40" s="172">
        <f t="shared" si="0"/>
        <v>470.03403894794462</v>
      </c>
      <c r="Q40" s="172">
        <f t="shared" si="0"/>
        <v>465.91494805161409</v>
      </c>
      <c r="R40" s="172">
        <f t="shared" si="0"/>
        <v>458.76764300000735</v>
      </c>
      <c r="S40" s="172">
        <f t="shared" si="0"/>
        <v>438.98591894404365</v>
      </c>
      <c r="T40" s="69"/>
      <c r="U40" s="69"/>
      <c r="W40" s="3" t="s">
        <v>575</v>
      </c>
    </row>
    <row r="41" spans="3:23" x14ac:dyDescent="0.35">
      <c r="F41" s="109"/>
      <c r="G41" s="23"/>
      <c r="H41" s="3"/>
      <c r="I41" s="3"/>
      <c r="J41" s="3"/>
      <c r="K41" s="3"/>
      <c r="L41" s="3"/>
      <c r="M41" s="3"/>
      <c r="N41" s="3"/>
      <c r="O41" s="3"/>
      <c r="P41" s="3"/>
      <c r="Q41" s="3"/>
      <c r="R41" s="3"/>
      <c r="S41" s="3"/>
      <c r="T41" s="3"/>
      <c r="U41" s="3"/>
      <c r="V41" s="3"/>
      <c r="W41" s="3"/>
    </row>
    <row r="42" spans="3:23" x14ac:dyDescent="0.35">
      <c r="C42" s="26" t="str">
        <f ca="1">INDEX('Version control'!$H$38:$H$61,MATCH($A$1,'Version control'!$F$38:$F$61,0),1)&amp;"-D: Rerouting matrix"</f>
        <v>Section 108-D: Rerouting matrix</v>
      </c>
      <c r="D42" s="26"/>
      <c r="E42" s="26"/>
      <c r="F42" s="26"/>
      <c r="G42" s="26"/>
      <c r="H42" s="165"/>
      <c r="I42" s="165"/>
      <c r="J42" s="165"/>
      <c r="K42" s="165"/>
      <c r="L42" s="165"/>
      <c r="M42" s="165"/>
      <c r="N42" s="165"/>
      <c r="O42" s="165"/>
      <c r="P42" s="165"/>
      <c r="Q42" s="165"/>
      <c r="R42" s="165"/>
      <c r="S42" s="165"/>
      <c r="T42" s="165"/>
      <c r="U42" s="165"/>
      <c r="V42" s="26"/>
      <c r="W42" s="165"/>
    </row>
    <row r="43" spans="3:23" x14ac:dyDescent="0.35">
      <c r="E43" s="27"/>
      <c r="F43" s="105"/>
      <c r="H43" s="3"/>
      <c r="I43" s="3"/>
      <c r="J43" s="3"/>
      <c r="K43" s="3"/>
      <c r="L43" s="3"/>
      <c r="M43" s="3"/>
      <c r="N43" s="3"/>
      <c r="O43" s="3"/>
      <c r="P43" s="3"/>
      <c r="Q43" s="3"/>
      <c r="R43" s="3"/>
      <c r="S43" s="3"/>
      <c r="T43" s="3"/>
      <c r="U43" s="3"/>
      <c r="W43" s="3"/>
    </row>
    <row r="44" spans="3:23" x14ac:dyDescent="0.35">
      <c r="D44" s="24" t="s">
        <v>576</v>
      </c>
      <c r="F44" s="105"/>
      <c r="H44" s="3"/>
      <c r="I44" s="3"/>
      <c r="J44" s="3"/>
      <c r="K44" s="3"/>
      <c r="L44" s="3"/>
      <c r="M44" s="3"/>
      <c r="N44" s="3"/>
      <c r="O44" s="3"/>
      <c r="P44" s="3"/>
      <c r="Q44" s="3"/>
      <c r="R44" s="3"/>
      <c r="S44" s="3"/>
      <c r="T44" s="3"/>
      <c r="U44" s="3"/>
      <c r="W44" s="3"/>
    </row>
    <row r="45" spans="3:23" x14ac:dyDescent="0.35">
      <c r="D45" s="24"/>
      <c r="F45" s="105"/>
      <c r="H45" s="3"/>
      <c r="I45" s="3"/>
      <c r="J45" s="3"/>
      <c r="K45" s="3"/>
      <c r="L45" s="3"/>
      <c r="M45" s="3"/>
      <c r="N45" s="3"/>
      <c r="O45" s="3"/>
      <c r="P45" s="3"/>
      <c r="Q45" s="3"/>
      <c r="R45" s="3"/>
      <c r="S45" s="3"/>
      <c r="T45" s="3"/>
      <c r="U45" s="3"/>
      <c r="W45" s="3"/>
    </row>
    <row r="46" spans="3:23" x14ac:dyDescent="0.35">
      <c r="D46" s="78"/>
      <c r="E46" s="23" t="s">
        <v>281</v>
      </c>
      <c r="G46" s="23" t="s">
        <v>167</v>
      </c>
      <c r="H46" s="3"/>
      <c r="I46" s="3"/>
      <c r="J46" s="170"/>
      <c r="K46" s="170"/>
      <c r="L46" s="170"/>
      <c r="M46" s="170"/>
      <c r="N46" s="170"/>
      <c r="O46" s="170"/>
      <c r="P46" s="169">
        <f>'Inputs by network level'!P17</f>
        <v>0</v>
      </c>
      <c r="Q46" s="170"/>
      <c r="R46" s="170"/>
      <c r="S46" s="170"/>
      <c r="T46" s="170"/>
      <c r="U46" s="170"/>
      <c r="W46" s="3"/>
    </row>
    <row r="47" spans="3:23" x14ac:dyDescent="0.35">
      <c r="E47" s="23" t="s">
        <v>577</v>
      </c>
      <c r="G47" s="23" t="s">
        <v>167</v>
      </c>
      <c r="H47" s="3"/>
      <c r="I47" s="3"/>
      <c r="J47" s="170"/>
      <c r="K47" s="170"/>
      <c r="L47" s="170"/>
      <c r="M47" s="166">
        <f>IF(M46 = "", 1 - $P$46, M46)</f>
        <v>1</v>
      </c>
      <c r="N47" s="166">
        <f>IF(N46 = "", 1 - $P$46, N46)</f>
        <v>1</v>
      </c>
      <c r="O47" s="166">
        <f>IF(O46 = "", 1 - $P$46, O46)</f>
        <v>1</v>
      </c>
      <c r="P47" s="166">
        <f>IF(P46 = "", 1 - $P$46, P46)</f>
        <v>0</v>
      </c>
      <c r="Q47" s="170"/>
      <c r="R47" s="170"/>
      <c r="S47" s="170"/>
      <c r="T47" s="170"/>
      <c r="U47" s="170"/>
      <c r="W47" s="3"/>
    </row>
    <row r="48" spans="3:23" x14ac:dyDescent="0.35">
      <c r="E48" s="23" t="s">
        <v>578</v>
      </c>
      <c r="G48" s="23" t="s">
        <v>172</v>
      </c>
      <c r="H48" s="3"/>
      <c r="I48" s="3"/>
      <c r="J48" s="69"/>
      <c r="K48" s="88">
        <f t="shared" ref="K48:S48" si="1">IF(K47 = "", K40, K47 * K40)</f>
        <v>478.49465164900761</v>
      </c>
      <c r="L48" s="88">
        <f t="shared" si="1"/>
        <v>476.58829845518687</v>
      </c>
      <c r="M48" s="88">
        <f t="shared" si="1"/>
        <v>474.69707504861867</v>
      </c>
      <c r="N48" s="88">
        <f t="shared" si="1"/>
        <v>472.35404901185353</v>
      </c>
      <c r="O48" s="88">
        <f t="shared" si="1"/>
        <v>470.03403894794462</v>
      </c>
      <c r="P48" s="88">
        <f t="shared" si="1"/>
        <v>0</v>
      </c>
      <c r="Q48" s="88">
        <f t="shared" si="1"/>
        <v>465.91494805161409</v>
      </c>
      <c r="R48" s="88">
        <f t="shared" si="1"/>
        <v>458.76764300000735</v>
      </c>
      <c r="S48" s="88">
        <f t="shared" si="1"/>
        <v>438.98591894404365</v>
      </c>
      <c r="T48" s="69"/>
      <c r="U48" s="69"/>
      <c r="W48" s="3"/>
    </row>
    <row r="49" spans="2:23" x14ac:dyDescent="0.35">
      <c r="E49" s="23"/>
      <c r="G49" s="23"/>
      <c r="H49" s="3"/>
      <c r="I49" s="3"/>
      <c r="J49" s="3"/>
      <c r="K49" s="3"/>
      <c r="L49" s="3"/>
      <c r="M49" s="3"/>
      <c r="N49" s="3"/>
      <c r="O49" s="3"/>
      <c r="P49" s="3"/>
      <c r="Q49" s="3"/>
      <c r="R49" s="3"/>
      <c r="S49" s="3"/>
      <c r="T49" s="3"/>
      <c r="U49" s="3"/>
      <c r="V49" s="3"/>
      <c r="W49" s="3"/>
    </row>
    <row r="50" spans="2:23" x14ac:dyDescent="0.35">
      <c r="C50" s="26" t="str">
        <f ca="1">INDEX('Version control'!$H$38:$H$61,MATCH($A$1,'Version control'!$F$38:$F$61,0),1)&amp;"-E: Annuitised cost of assets"</f>
        <v>Section 108-E: Annuitised cost of assets</v>
      </c>
      <c r="D50" s="26"/>
      <c r="E50" s="26"/>
      <c r="F50" s="26"/>
      <c r="G50" s="26"/>
      <c r="H50" s="165"/>
      <c r="I50" s="165"/>
      <c r="J50" s="165"/>
      <c r="K50" s="165"/>
      <c r="L50" s="165"/>
      <c r="M50" s="165"/>
      <c r="N50" s="165"/>
      <c r="O50" s="165"/>
      <c r="P50" s="165"/>
      <c r="Q50" s="165"/>
      <c r="R50" s="165"/>
      <c r="S50" s="165"/>
      <c r="T50" s="165"/>
      <c r="U50" s="165"/>
      <c r="V50" s="26"/>
      <c r="W50" s="165"/>
    </row>
    <row r="51" spans="2:23" x14ac:dyDescent="0.35">
      <c r="E51" s="27"/>
      <c r="F51" s="105"/>
      <c r="H51" s="3"/>
      <c r="J51" s="3"/>
      <c r="K51" s="3"/>
      <c r="L51" s="103"/>
      <c r="M51" s="103"/>
      <c r="N51" s="103"/>
      <c r="O51" s="103"/>
      <c r="P51" s="103"/>
      <c r="Q51" s="103"/>
      <c r="R51" s="103"/>
      <c r="S51" s="103"/>
      <c r="T51" s="103"/>
      <c r="U51" s="173"/>
    </row>
    <row r="52" spans="2:23" x14ac:dyDescent="0.35">
      <c r="D52" s="24" t="s">
        <v>579</v>
      </c>
      <c r="F52" s="105"/>
      <c r="H52" s="3"/>
      <c r="I52" s="3"/>
      <c r="J52" s="3"/>
      <c r="K52" s="3"/>
      <c r="L52" s="103"/>
      <c r="M52" s="103"/>
      <c r="N52" s="103"/>
      <c r="O52" s="103"/>
      <c r="P52" s="103"/>
      <c r="Q52" s="103"/>
      <c r="R52" s="103"/>
      <c r="S52" s="103"/>
      <c r="T52" s="103"/>
      <c r="U52" s="173"/>
    </row>
    <row r="53" spans="2:23" x14ac:dyDescent="0.35">
      <c r="D53" s="24"/>
      <c r="F53" s="105"/>
      <c r="H53" s="3"/>
      <c r="I53" s="3"/>
      <c r="J53" s="3"/>
      <c r="K53" s="3"/>
      <c r="L53" s="103"/>
      <c r="M53" s="103"/>
      <c r="N53" s="103"/>
      <c r="O53" s="103"/>
      <c r="P53" s="103"/>
      <c r="Q53" s="103"/>
      <c r="R53" s="103"/>
      <c r="S53" s="103"/>
      <c r="T53" s="103"/>
      <c r="U53" s="173"/>
    </row>
    <row r="54" spans="2:23" x14ac:dyDescent="0.35">
      <c r="E54" t="s">
        <v>580</v>
      </c>
      <c r="F54" s="167"/>
      <c r="G54" s="23" t="s">
        <v>277</v>
      </c>
      <c r="H54" s="3"/>
      <c r="I54" s="3"/>
      <c r="J54" s="69"/>
      <c r="K54" s="69"/>
      <c r="L54" s="110">
        <f>'Inputs by network level'!L33</f>
        <v>108094674.5896706</v>
      </c>
      <c r="M54" s="110">
        <f>'Inputs by network level'!M33</f>
        <v>27969266.206294756</v>
      </c>
      <c r="N54" s="110">
        <f>'Inputs by network level'!N33</f>
        <v>77054810.558477685</v>
      </c>
      <c r="O54" s="110">
        <f>'Inputs by network level'!O33</f>
        <v>54515674.089226954</v>
      </c>
      <c r="P54" s="110">
        <f>'Inputs by network level'!P33</f>
        <v>0</v>
      </c>
      <c r="Q54" s="110">
        <f>'Inputs by network level'!Q33</f>
        <v>176431581.78256679</v>
      </c>
      <c r="R54" s="110">
        <f>'Inputs by network level'!R33</f>
        <v>67753848.587294519</v>
      </c>
      <c r="S54" s="110">
        <f>'Inputs by network level'!S33</f>
        <v>175074220.56612813</v>
      </c>
      <c r="T54" s="69"/>
      <c r="U54" s="69"/>
      <c r="W54" s="3"/>
    </row>
    <row r="55" spans="2:23" x14ac:dyDescent="0.35">
      <c r="E55" t="s">
        <v>581</v>
      </c>
      <c r="F55" s="167"/>
      <c r="G55" s="23" t="s">
        <v>582</v>
      </c>
      <c r="H55" s="3"/>
      <c r="I55" s="3"/>
      <c r="J55" s="69"/>
      <c r="K55" s="69"/>
      <c r="L55" s="88">
        <f t="shared" ref="L55:S55" si="2">IF(L48 = 0, 0, L54 / (L48 * thousand))</f>
        <v>226.80933405215492</v>
      </c>
      <c r="M55" s="88">
        <f t="shared" si="2"/>
        <v>58.920241300054634</v>
      </c>
      <c r="N55" s="88">
        <f t="shared" si="2"/>
        <v>163.12935333077672</v>
      </c>
      <c r="O55" s="88">
        <f t="shared" si="2"/>
        <v>115.9823961074114</v>
      </c>
      <c r="P55" s="88">
        <f t="shared" si="2"/>
        <v>0</v>
      </c>
      <c r="Q55" s="88">
        <f t="shared" si="2"/>
        <v>378.67765891688384</v>
      </c>
      <c r="R55" s="88">
        <f t="shared" si="2"/>
        <v>147.68663313792911</v>
      </c>
      <c r="S55" s="88">
        <f t="shared" si="2"/>
        <v>398.81511686584275</v>
      </c>
      <c r="T55" s="69"/>
      <c r="U55" s="69"/>
      <c r="W55" s="3"/>
    </row>
    <row r="56" spans="2:23" x14ac:dyDescent="0.35">
      <c r="E56" t="s">
        <v>583</v>
      </c>
      <c r="F56" s="167"/>
      <c r="G56" s="23" t="s">
        <v>584</v>
      </c>
      <c r="H56" s="3"/>
      <c r="I56" s="3" t="s">
        <v>154</v>
      </c>
      <c r="J56" s="69"/>
      <c r="K56" s="69"/>
      <c r="L56" s="88">
        <f t="shared" ref="L56:S56" si="3">L55 * $H$25</f>
        <v>11.019656495328036</v>
      </c>
      <c r="M56" s="88">
        <f t="shared" si="3"/>
        <v>2.86267239600968</v>
      </c>
      <c r="N56" s="88">
        <f t="shared" si="3"/>
        <v>7.9257295363196567</v>
      </c>
      <c r="O56" s="88">
        <f t="shared" si="3"/>
        <v>5.6350686357328161</v>
      </c>
      <c r="P56" s="88">
        <f t="shared" si="3"/>
        <v>0</v>
      </c>
      <c r="Q56" s="88">
        <f t="shared" si="3"/>
        <v>18.398262757384991</v>
      </c>
      <c r="R56" s="88">
        <f t="shared" si="3"/>
        <v>7.1754364648735089</v>
      </c>
      <c r="S56" s="88">
        <f t="shared" si="3"/>
        <v>19.376652250101426</v>
      </c>
      <c r="T56" s="69"/>
      <c r="U56" s="69"/>
      <c r="W56" s="3" t="s">
        <v>585</v>
      </c>
    </row>
    <row r="57" spans="2:23" x14ac:dyDescent="0.35">
      <c r="H57" s="3"/>
      <c r="I57" s="3"/>
      <c r="J57" s="117"/>
      <c r="K57" s="117"/>
      <c r="L57" s="117"/>
      <c r="M57" s="117"/>
      <c r="N57" s="117"/>
      <c r="O57" s="117"/>
      <c r="P57" s="117"/>
      <c r="Q57" s="117"/>
      <c r="R57" s="117"/>
      <c r="S57" s="117"/>
      <c r="T57" s="117"/>
      <c r="U57" s="117"/>
      <c r="W57" s="3"/>
    </row>
    <row r="58" spans="2:23" x14ac:dyDescent="0.35">
      <c r="B58" s="25" t="s">
        <v>586</v>
      </c>
      <c r="C58" s="25"/>
      <c r="D58" s="25"/>
      <c r="E58" s="25"/>
      <c r="F58" s="25"/>
      <c r="G58" s="25"/>
      <c r="H58" s="25"/>
      <c r="I58" s="25"/>
      <c r="J58" s="174"/>
      <c r="K58" s="174"/>
      <c r="L58" s="174"/>
      <c r="M58" s="174"/>
      <c r="N58" s="174"/>
      <c r="O58" s="174"/>
      <c r="P58" s="174"/>
      <c r="Q58" s="174"/>
      <c r="R58" s="174"/>
      <c r="S58" s="174"/>
      <c r="T58" s="174"/>
      <c r="U58" s="174"/>
      <c r="V58" s="25"/>
      <c r="W58" s="25"/>
    </row>
    <row r="59" spans="2:23" x14ac:dyDescent="0.35">
      <c r="J59" s="79"/>
      <c r="K59" s="79"/>
      <c r="L59" s="79"/>
      <c r="M59" s="79"/>
      <c r="N59" s="79"/>
      <c r="O59" s="79"/>
      <c r="P59" s="79"/>
      <c r="Q59" s="79"/>
      <c r="R59" s="79"/>
      <c r="S59" s="79"/>
      <c r="T59" s="79"/>
      <c r="U59" s="79"/>
    </row>
    <row r="60" spans="2:23" x14ac:dyDescent="0.35">
      <c r="C60" s="24" t="s">
        <v>587</v>
      </c>
      <c r="J60" s="79"/>
      <c r="K60" s="79"/>
      <c r="L60" s="79"/>
      <c r="M60" s="79"/>
      <c r="N60" s="79"/>
      <c r="O60" s="79"/>
      <c r="P60" s="79"/>
      <c r="Q60" s="79"/>
      <c r="R60" s="79"/>
      <c r="S60" s="79"/>
      <c r="T60" s="79"/>
      <c r="U60" s="79"/>
    </row>
    <row r="61" spans="2:23" x14ac:dyDescent="0.35">
      <c r="J61" s="79"/>
      <c r="K61" s="79"/>
      <c r="L61" s="79"/>
      <c r="M61" s="79"/>
      <c r="N61" s="79"/>
      <c r="O61" s="79"/>
      <c r="P61" s="79"/>
      <c r="Q61" s="79"/>
      <c r="R61" s="79"/>
      <c r="S61" s="79"/>
      <c r="T61" s="79"/>
      <c r="U61" s="79"/>
    </row>
    <row r="62" spans="2:23" x14ac:dyDescent="0.35">
      <c r="C62" s="26" t="str">
        <f ca="1">INDEX('Version control'!$H$38:$H$61,MATCH($A$1,'Version control'!$F$38:$F$61,0),1)&amp;"-F: System simultaneous peak load based on charegable units"</f>
        <v>Section 108-F: System simultaneous peak load based on charegable units</v>
      </c>
      <c r="D62" s="26"/>
      <c r="E62" s="26"/>
      <c r="F62" s="26"/>
      <c r="G62" s="26"/>
      <c r="H62" s="165"/>
      <c r="I62" s="165"/>
      <c r="J62" s="175"/>
      <c r="K62" s="175"/>
      <c r="L62" s="175"/>
      <c r="M62" s="175"/>
      <c r="N62" s="175"/>
      <c r="O62" s="175"/>
      <c r="P62" s="175"/>
      <c r="Q62" s="175"/>
      <c r="R62" s="175"/>
      <c r="S62" s="175"/>
      <c r="T62" s="175"/>
      <c r="U62" s="175"/>
      <c r="V62" s="26"/>
      <c r="W62" s="165"/>
    </row>
    <row r="63" spans="2:23" x14ac:dyDescent="0.35">
      <c r="D63" s="27"/>
      <c r="J63" s="79"/>
      <c r="K63" s="79"/>
      <c r="L63" s="79"/>
      <c r="M63" s="79"/>
      <c r="N63" s="79"/>
      <c r="O63" s="79"/>
      <c r="P63" s="79"/>
      <c r="Q63" s="79"/>
      <c r="R63" s="79"/>
      <c r="S63" s="79"/>
      <c r="T63" s="79"/>
      <c r="U63" s="79"/>
    </row>
    <row r="64" spans="2:23" x14ac:dyDescent="0.35">
      <c r="E64" t="s">
        <v>588</v>
      </c>
      <c r="G64" t="s">
        <v>172</v>
      </c>
      <c r="J64" s="69"/>
      <c r="K64" s="110">
        <f t="array" ref="K64:S64">TRANSPOSE('System peak demand'!H269:H277)</f>
        <v>4239.883943037019</v>
      </c>
      <c r="L64" s="110">
        <v>4155.4249853458505</v>
      </c>
      <c r="M64" s="110">
        <v>4138.9352036579694</v>
      </c>
      <c r="N64" s="110">
        <v>4291.2394865054703</v>
      </c>
      <c r="O64" s="110">
        <v>5195.4879356874617</v>
      </c>
      <c r="P64" s="110">
        <v>0</v>
      </c>
      <c r="Q64" s="110">
        <v>5057.489202076199</v>
      </c>
      <c r="R64" s="110">
        <v>4945.8493636837693</v>
      </c>
      <c r="S64" s="110">
        <v>3273.6634386952851</v>
      </c>
      <c r="T64" s="69"/>
      <c r="U64" s="69"/>
    </row>
    <row r="65" spans="3:24" x14ac:dyDescent="0.35">
      <c r="E65" s="23" t="s">
        <v>589</v>
      </c>
      <c r="F65" s="23"/>
      <c r="G65" s="23" t="s">
        <v>172</v>
      </c>
      <c r="H65" s="92"/>
      <c r="J65" s="88">
        <f>K64</f>
        <v>4239.883943037019</v>
      </c>
      <c r="K65" s="69"/>
      <c r="L65" s="69"/>
      <c r="M65" s="69"/>
      <c r="N65" s="69"/>
      <c r="O65" s="69"/>
      <c r="P65" s="69"/>
      <c r="Q65" s="69"/>
      <c r="R65" s="69"/>
      <c r="S65" s="69"/>
      <c r="T65" s="69"/>
      <c r="U65" s="69"/>
      <c r="W65" s="53"/>
      <c r="X65" s="53"/>
    </row>
    <row r="66" spans="3:24" x14ac:dyDescent="0.35">
      <c r="J66" s="79"/>
      <c r="K66" s="79"/>
      <c r="L66" s="79"/>
      <c r="M66" s="79"/>
      <c r="N66" s="79"/>
      <c r="O66" s="79"/>
      <c r="P66" s="79"/>
      <c r="Q66" s="79"/>
      <c r="R66" s="79"/>
      <c r="S66" s="79"/>
      <c r="T66" s="79"/>
      <c r="U66" s="79"/>
      <c r="X66" s="53"/>
    </row>
    <row r="67" spans="3:24" x14ac:dyDescent="0.35">
      <c r="E67" s="23" t="s">
        <v>588</v>
      </c>
      <c r="F67" s="23"/>
      <c r="G67" s="23" t="s">
        <v>519</v>
      </c>
      <c r="H67" s="92"/>
      <c r="J67" s="88">
        <f t="shared" ref="J67:S67" si="4">SUM(J64:J65) * thousand</f>
        <v>4239883.9430370191</v>
      </c>
      <c r="K67" s="88">
        <f t="shared" si="4"/>
        <v>4239883.9430370191</v>
      </c>
      <c r="L67" s="88">
        <f t="shared" si="4"/>
        <v>4155424.9853458507</v>
      </c>
      <c r="M67" s="88">
        <f t="shared" si="4"/>
        <v>4138935.2036579694</v>
      </c>
      <c r="N67" s="88">
        <f t="shared" si="4"/>
        <v>4291239.4865054702</v>
      </c>
      <c r="O67" s="88">
        <f t="shared" si="4"/>
        <v>5195487.9356874619</v>
      </c>
      <c r="P67" s="88">
        <f t="shared" si="4"/>
        <v>0</v>
      </c>
      <c r="Q67" s="88">
        <f t="shared" si="4"/>
        <v>5057489.2020761995</v>
      </c>
      <c r="R67" s="88">
        <f t="shared" si="4"/>
        <v>4945849.3636837695</v>
      </c>
      <c r="S67" s="88">
        <f t="shared" si="4"/>
        <v>3273663.438695285</v>
      </c>
      <c r="T67" s="69"/>
      <c r="U67" s="69"/>
      <c r="W67" s="53"/>
      <c r="X67" s="53"/>
    </row>
    <row r="68" spans="3:24" x14ac:dyDescent="0.35">
      <c r="J68" s="79"/>
      <c r="K68" s="79"/>
      <c r="L68" s="79"/>
      <c r="M68" s="79"/>
      <c r="N68" s="79"/>
      <c r="O68" s="79"/>
      <c r="P68" s="79"/>
      <c r="Q68" s="79"/>
      <c r="R68" s="79"/>
      <c r="S68" s="79"/>
      <c r="T68" s="79"/>
      <c r="U68" s="79"/>
    </row>
    <row r="69" spans="3:24" x14ac:dyDescent="0.35">
      <c r="C69" s="26" t="str">
        <f ca="1">INDEX('Version control'!$H$38:$H$61,MATCH($A$1,'Version control'!$F$38:$F$61,0),1)&amp;"-G: Notional asset values, by network level"</f>
        <v>Section 108-G: Notional asset values, by network level</v>
      </c>
      <c r="D69" s="26"/>
      <c r="E69" s="26"/>
      <c r="F69" s="26"/>
      <c r="G69" s="26"/>
      <c r="H69" s="165"/>
      <c r="I69" s="165"/>
      <c r="J69" s="175"/>
      <c r="K69" s="175"/>
      <c r="L69" s="175"/>
      <c r="M69" s="175"/>
      <c r="N69" s="175"/>
      <c r="O69" s="175"/>
      <c r="P69" s="175"/>
      <c r="Q69" s="175"/>
      <c r="R69" s="175"/>
      <c r="S69" s="175"/>
      <c r="T69" s="175"/>
      <c r="U69" s="175"/>
      <c r="V69" s="26"/>
      <c r="W69" s="165"/>
    </row>
    <row r="70" spans="3:24" x14ac:dyDescent="0.35">
      <c r="E70" s="27"/>
      <c r="J70" s="79"/>
      <c r="K70" s="79"/>
      <c r="L70" s="79"/>
      <c r="M70" s="79"/>
      <c r="N70" s="79"/>
      <c r="O70" s="79"/>
      <c r="P70" s="79"/>
      <c r="Q70" s="79"/>
      <c r="R70" s="79"/>
      <c r="S70" s="79"/>
      <c r="T70" s="79"/>
      <c r="U70" s="79"/>
      <c r="X70" s="53"/>
    </row>
    <row r="71" spans="3:24" x14ac:dyDescent="0.35">
      <c r="D71" s="24" t="s">
        <v>590</v>
      </c>
      <c r="J71" s="79"/>
      <c r="K71" s="79"/>
      <c r="L71" s="79"/>
      <c r="M71" s="79"/>
      <c r="N71" s="79"/>
      <c r="O71" s="79"/>
      <c r="P71" s="79"/>
      <c r="Q71" s="79"/>
      <c r="R71" s="79"/>
      <c r="S71" s="79"/>
      <c r="T71" s="79"/>
      <c r="U71" s="79"/>
      <c r="X71" s="53"/>
    </row>
    <row r="72" spans="3:24" x14ac:dyDescent="0.35">
      <c r="D72" s="24"/>
      <c r="J72" s="79"/>
      <c r="K72" s="79"/>
      <c r="L72" s="79"/>
      <c r="M72" s="79"/>
      <c r="N72" s="79"/>
      <c r="O72" s="79"/>
      <c r="P72" s="79"/>
      <c r="Q72" s="79"/>
      <c r="R72" s="79"/>
      <c r="S72" s="79"/>
      <c r="T72" s="79"/>
      <c r="U72" s="79"/>
      <c r="X72" s="53"/>
    </row>
    <row r="73" spans="3:24" x14ac:dyDescent="0.35">
      <c r="E73" s="23" t="s">
        <v>591</v>
      </c>
      <c r="F73" s="23"/>
      <c r="G73" s="23" t="s">
        <v>277</v>
      </c>
      <c r="J73" s="69"/>
      <c r="K73" s="69"/>
      <c r="L73" s="88">
        <f t="shared" ref="L73:S73" si="5">L67 * L55</f>
        <v>942489173.62997806</v>
      </c>
      <c r="M73" s="88">
        <f t="shared" si="5"/>
        <v>243867060.92481834</v>
      </c>
      <c r="N73" s="88">
        <f t="shared" si="5"/>
        <v>700027122.42113173</v>
      </c>
      <c r="O73" s="88">
        <f t="shared" si="5"/>
        <v>602585139.72818041</v>
      </c>
      <c r="P73" s="88">
        <f t="shared" si="5"/>
        <v>0</v>
      </c>
      <c r="Q73" s="88">
        <f t="shared" si="5"/>
        <v>1915158171.039634</v>
      </c>
      <c r="R73" s="88">
        <f t="shared" si="5"/>
        <v>730435840.52982497</v>
      </c>
      <c r="S73" s="88">
        <f t="shared" si="5"/>
        <v>1305586466.8826966</v>
      </c>
      <c r="T73" s="69"/>
      <c r="U73" s="69"/>
      <c r="X73" s="53"/>
    </row>
    <row r="74" spans="3:24" x14ac:dyDescent="0.35">
      <c r="E74" s="23" t="s">
        <v>592</v>
      </c>
      <c r="F74" s="23"/>
      <c r="G74" s="23" t="s">
        <v>277</v>
      </c>
      <c r="J74" s="69"/>
      <c r="K74" s="69"/>
      <c r="L74" s="69"/>
      <c r="M74" s="69"/>
      <c r="N74" s="69"/>
      <c r="O74" s="69"/>
      <c r="P74" s="69"/>
      <c r="Q74" s="69"/>
      <c r="R74" s="69"/>
      <c r="S74" s="69"/>
      <c r="T74" s="110">
        <f>'Service model assets'!H33</f>
        <v>1682006215.7944007</v>
      </c>
      <c r="U74" s="110">
        <f>'Service model assets'!H34</f>
        <v>54784207.390659429</v>
      </c>
      <c r="X74" s="53"/>
    </row>
    <row r="75" spans="3:24" x14ac:dyDescent="0.35">
      <c r="J75" s="79"/>
      <c r="K75" s="79"/>
      <c r="L75" s="79"/>
      <c r="M75" s="79"/>
      <c r="N75" s="79"/>
      <c r="O75" s="79"/>
      <c r="P75" s="79"/>
      <c r="Q75" s="79"/>
      <c r="R75" s="79"/>
      <c r="S75" s="79"/>
      <c r="T75" s="79"/>
      <c r="U75" s="79"/>
      <c r="X75" s="53"/>
    </row>
    <row r="76" spans="3:24" x14ac:dyDescent="0.35">
      <c r="E76" s="23" t="s">
        <v>593</v>
      </c>
      <c r="F76" s="23"/>
      <c r="G76" s="23" t="s">
        <v>277</v>
      </c>
      <c r="I76" t="s">
        <v>154</v>
      </c>
      <c r="J76" s="69"/>
      <c r="K76" s="88">
        <f t="shared" ref="K76:U76" si="6">K73 + K74</f>
        <v>0</v>
      </c>
      <c r="L76" s="88">
        <f t="shared" si="6"/>
        <v>942489173.62997806</v>
      </c>
      <c r="M76" s="88">
        <f t="shared" si="6"/>
        <v>243867060.92481834</v>
      </c>
      <c r="N76" s="88">
        <f t="shared" si="6"/>
        <v>700027122.42113173</v>
      </c>
      <c r="O76" s="88">
        <f t="shared" si="6"/>
        <v>602585139.72818041</v>
      </c>
      <c r="P76" s="88">
        <f t="shared" si="6"/>
        <v>0</v>
      </c>
      <c r="Q76" s="88">
        <f t="shared" si="6"/>
        <v>1915158171.039634</v>
      </c>
      <c r="R76" s="88">
        <f t="shared" si="6"/>
        <v>730435840.52982497</v>
      </c>
      <c r="S76" s="88">
        <f t="shared" si="6"/>
        <v>1305586466.8826966</v>
      </c>
      <c r="T76" s="88">
        <f t="shared" si="6"/>
        <v>1682006215.7944007</v>
      </c>
      <c r="U76" s="88">
        <f t="shared" si="6"/>
        <v>54784207.390659429</v>
      </c>
      <c r="W76" s="3" t="s">
        <v>594</v>
      </c>
      <c r="X76" s="53"/>
    </row>
    <row r="77" spans="3:24" x14ac:dyDescent="0.35">
      <c r="L77" s="53"/>
      <c r="M77" s="53"/>
      <c r="N77" s="53"/>
      <c r="O77" s="53"/>
      <c r="P77" s="53"/>
      <c r="Q77" s="53"/>
      <c r="R77" s="53"/>
      <c r="S77" s="53"/>
      <c r="T77" s="53"/>
      <c r="U77" s="53"/>
      <c r="X77" s="53"/>
    </row>
    <row r="78" spans="3:24" x14ac:dyDescent="0.35">
      <c r="E78" s="23" t="s">
        <v>595</v>
      </c>
      <c r="F78" s="23"/>
      <c r="G78" s="23" t="s">
        <v>167</v>
      </c>
      <c r="J78" s="170"/>
      <c r="K78" s="135">
        <f t="shared" ref="K78:U78" si="7">K76 / SUM($K$76:$U$76)</f>
        <v>0</v>
      </c>
      <c r="L78" s="135">
        <f t="shared" si="7"/>
        <v>0.11526185137450816</v>
      </c>
      <c r="M78" s="135">
        <f t="shared" si="7"/>
        <v>2.9823757893361204E-2</v>
      </c>
      <c r="N78" s="135">
        <f t="shared" si="7"/>
        <v>8.5609919349913577E-2</v>
      </c>
      <c r="O78" s="135">
        <f t="shared" si="7"/>
        <v>7.3693237820793137E-2</v>
      </c>
      <c r="P78" s="135">
        <f t="shared" si="7"/>
        <v>0</v>
      </c>
      <c r="Q78" s="135">
        <f t="shared" si="7"/>
        <v>0.23421454871343667</v>
      </c>
      <c r="R78" s="135">
        <f t="shared" si="7"/>
        <v>8.9328757979787926E-2</v>
      </c>
      <c r="S78" s="135">
        <f t="shared" si="7"/>
        <v>0.15966688797369979</v>
      </c>
      <c r="T78" s="135">
        <f t="shared" si="7"/>
        <v>0.20570119623677191</v>
      </c>
      <c r="U78" s="135">
        <f t="shared" si="7"/>
        <v>6.6998426577274482E-3</v>
      </c>
      <c r="X78" s="53"/>
    </row>
    <row r="79" spans="3:24" x14ac:dyDescent="0.35">
      <c r="E79" s="27"/>
      <c r="L79" s="53"/>
      <c r="M79" s="53"/>
      <c r="N79" s="53"/>
      <c r="O79" s="53"/>
      <c r="P79" s="53"/>
      <c r="Q79" s="53"/>
      <c r="R79" s="53"/>
      <c r="S79" s="53"/>
      <c r="T79" s="53"/>
      <c r="U79" s="53"/>
    </row>
    <row r="80" spans="3:24" x14ac:dyDescent="0.35">
      <c r="C80" s="26" t="str">
        <f ca="1">INDEX('Version control'!$H$38:$H$61,MATCH($A$1,'Version control'!$F$38:$F$61,0),1)&amp;"-H: Other operating costs"</f>
        <v>Section 108-H: Other operating costs</v>
      </c>
      <c r="D80" s="26"/>
      <c r="E80" s="26"/>
      <c r="F80" s="26"/>
      <c r="G80" s="26"/>
      <c r="H80" s="165"/>
      <c r="I80" s="165"/>
      <c r="J80" s="165"/>
      <c r="K80" s="165"/>
      <c r="L80" s="165"/>
      <c r="M80" s="165"/>
      <c r="N80" s="165"/>
      <c r="O80" s="165"/>
      <c r="P80" s="165"/>
      <c r="Q80" s="165"/>
      <c r="R80" s="165"/>
      <c r="S80" s="165"/>
      <c r="T80" s="165"/>
      <c r="U80" s="165"/>
      <c r="V80" s="26"/>
      <c r="W80" s="165"/>
    </row>
    <row r="81" spans="3:23" x14ac:dyDescent="0.35">
      <c r="E81" s="27"/>
      <c r="L81" s="53"/>
      <c r="M81" s="53"/>
      <c r="N81" s="53"/>
      <c r="O81" s="53"/>
      <c r="P81" s="53"/>
      <c r="Q81" s="53"/>
      <c r="R81" s="53"/>
      <c r="S81" s="53"/>
      <c r="T81" s="53"/>
      <c r="U81" s="53"/>
    </row>
    <row r="82" spans="3:23" x14ac:dyDescent="0.35">
      <c r="D82" s="24" t="s">
        <v>596</v>
      </c>
      <c r="L82" s="53"/>
      <c r="M82" s="53"/>
      <c r="N82" s="53"/>
      <c r="O82" s="53"/>
      <c r="P82" s="53"/>
      <c r="Q82" s="53"/>
      <c r="R82" s="53"/>
      <c r="S82" s="53"/>
      <c r="T82" s="53"/>
      <c r="U82" s="53"/>
    </row>
    <row r="83" spans="3:23" x14ac:dyDescent="0.35">
      <c r="D83" s="24"/>
      <c r="L83" s="53"/>
      <c r="M83" s="53"/>
      <c r="N83" s="53"/>
      <c r="O83" s="53"/>
      <c r="P83" s="53"/>
      <c r="Q83" s="53"/>
      <c r="R83" s="53"/>
      <c r="S83" s="53"/>
      <c r="T83" s="53"/>
      <c r="U83" s="53"/>
    </row>
    <row r="84" spans="3:23" x14ac:dyDescent="0.35">
      <c r="E84" s="23" t="s">
        <v>169</v>
      </c>
      <c r="F84" s="23"/>
      <c r="G84" s="23" t="s">
        <v>167</v>
      </c>
      <c r="H84" s="21">
        <f>'Fixed inputs'!H39</f>
        <v>0.6</v>
      </c>
      <c r="L84" s="53"/>
      <c r="M84" s="53"/>
      <c r="N84" s="53"/>
      <c r="O84" s="53"/>
      <c r="P84" s="53"/>
      <c r="Q84" s="53"/>
      <c r="R84" s="53"/>
      <c r="S84" s="53"/>
      <c r="T84" s="53"/>
      <c r="U84" s="53"/>
    </row>
    <row r="85" spans="3:23" x14ac:dyDescent="0.35">
      <c r="F85" s="23"/>
      <c r="G85" s="23"/>
      <c r="H85" s="21"/>
      <c r="L85" s="53"/>
      <c r="M85" s="53"/>
      <c r="N85" s="53"/>
      <c r="O85" s="53"/>
      <c r="P85" s="53"/>
      <c r="Q85" s="53"/>
      <c r="R85" s="53"/>
      <c r="S85" s="53"/>
      <c r="T85" s="53"/>
      <c r="U85" s="53"/>
    </row>
    <row r="86" spans="3:23" x14ac:dyDescent="0.35">
      <c r="E86" s="23" t="s">
        <v>359</v>
      </c>
      <c r="F86" s="23"/>
      <c r="G86" s="23" t="s">
        <v>356</v>
      </c>
      <c r="H86" s="110">
        <f>'General inputs'!H103</f>
        <v>95907521.894893765</v>
      </c>
      <c r="L86" s="53"/>
      <c r="M86" s="53"/>
      <c r="N86" s="53"/>
      <c r="O86" s="53"/>
      <c r="P86" s="53"/>
      <c r="Q86" s="53"/>
      <c r="R86" s="53"/>
      <c r="S86" s="53"/>
      <c r="T86" s="53"/>
      <c r="U86" s="53"/>
    </row>
    <row r="87" spans="3:23" x14ac:dyDescent="0.35">
      <c r="E87" s="23" t="s">
        <v>360</v>
      </c>
      <c r="F87" s="23"/>
      <c r="G87" s="23" t="s">
        <v>356</v>
      </c>
      <c r="H87" s="110">
        <f>'General inputs'!H104</f>
        <v>207411213.46439716</v>
      </c>
      <c r="L87" s="53"/>
      <c r="M87" s="53"/>
      <c r="N87" s="53"/>
      <c r="O87" s="53"/>
      <c r="P87" s="53"/>
      <c r="Q87" s="53"/>
      <c r="R87" s="53"/>
      <c r="S87" s="53"/>
      <c r="T87" s="53"/>
      <c r="U87" s="53"/>
    </row>
    <row r="88" spans="3:23" x14ac:dyDescent="0.35">
      <c r="E88" s="23" t="s">
        <v>361</v>
      </c>
      <c r="F88" s="23"/>
      <c r="G88" s="23" t="s">
        <v>356</v>
      </c>
      <c r="H88" s="110">
        <f>'General inputs'!H105</f>
        <v>44300320</v>
      </c>
      <c r="J88" s="53"/>
      <c r="L88" s="53"/>
      <c r="M88" s="53"/>
      <c r="N88" s="53"/>
      <c r="O88" s="53"/>
      <c r="P88" s="53"/>
      <c r="Q88" s="53"/>
      <c r="R88" s="53"/>
      <c r="S88" s="53"/>
      <c r="T88" s="53"/>
      <c r="U88" s="53"/>
    </row>
    <row r="89" spans="3:23" x14ac:dyDescent="0.35">
      <c r="E89" s="23"/>
      <c r="F89" s="23"/>
      <c r="G89" s="23"/>
      <c r="H89" s="110"/>
      <c r="J89" s="53"/>
      <c r="L89" s="53"/>
      <c r="M89" s="53"/>
      <c r="N89" s="53"/>
      <c r="O89" s="53"/>
      <c r="P89" s="53"/>
      <c r="Q89" s="53"/>
      <c r="R89" s="53"/>
      <c r="S89" s="53"/>
      <c r="T89" s="53"/>
      <c r="U89" s="53"/>
    </row>
    <row r="90" spans="3:23" x14ac:dyDescent="0.35">
      <c r="E90" s="23" t="s">
        <v>597</v>
      </c>
      <c r="F90" s="23"/>
      <c r="G90" s="23" t="s">
        <v>356</v>
      </c>
      <c r="H90" s="88">
        <f>H86 + H87 * H84 + H88</f>
        <v>264654569.97353205</v>
      </c>
      <c r="L90" s="53"/>
      <c r="M90" s="53"/>
      <c r="N90" s="53"/>
      <c r="O90" s="53"/>
      <c r="P90" s="53"/>
      <c r="Q90" s="53"/>
      <c r="R90" s="53"/>
      <c r="S90" s="53"/>
      <c r="T90" s="53"/>
      <c r="U90" s="53"/>
    </row>
    <row r="91" spans="3:23" x14ac:dyDescent="0.35">
      <c r="E91" s="27"/>
      <c r="L91" s="53"/>
      <c r="M91" s="53"/>
      <c r="N91" s="53"/>
      <c r="O91" s="53"/>
      <c r="P91" s="53"/>
      <c r="Q91" s="53"/>
      <c r="R91" s="53"/>
      <c r="S91" s="53"/>
      <c r="T91" s="53"/>
      <c r="U91" s="53"/>
    </row>
    <row r="92" spans="3:23" x14ac:dyDescent="0.35">
      <c r="C92" s="26" t="str">
        <f ca="1">INDEX('Version control'!$H$38:$H$61,MATCH($A$1,'Version control'!$F$38:$F$61,0),1)&amp;"-I: Other operating costs by network level"</f>
        <v>Section 108-I: Other operating costs by network level</v>
      </c>
      <c r="D92" s="26"/>
      <c r="E92" s="26"/>
      <c r="F92" s="26"/>
      <c r="G92" s="26"/>
      <c r="H92" s="165"/>
      <c r="I92" s="165"/>
      <c r="J92" s="165"/>
      <c r="K92" s="165"/>
      <c r="L92" s="165"/>
      <c r="M92" s="165"/>
      <c r="N92" s="165"/>
      <c r="O92" s="165"/>
      <c r="P92" s="165"/>
      <c r="Q92" s="165"/>
      <c r="R92" s="165"/>
      <c r="S92" s="165"/>
      <c r="T92" s="165"/>
      <c r="U92" s="165"/>
      <c r="V92" s="26"/>
      <c r="W92" s="165"/>
    </row>
    <row r="93" spans="3:23" x14ac:dyDescent="0.35">
      <c r="E93" s="27"/>
      <c r="H93" s="53"/>
      <c r="L93" s="53"/>
      <c r="M93" s="53"/>
      <c r="N93" s="53"/>
      <c r="O93" s="53"/>
      <c r="P93" s="53"/>
      <c r="Q93" s="53"/>
      <c r="R93" s="53"/>
      <c r="S93" s="53"/>
      <c r="T93" s="53"/>
      <c r="U93" s="53"/>
    </row>
    <row r="94" spans="3:23" x14ac:dyDescent="0.35">
      <c r="D94" s="24" t="s">
        <v>598</v>
      </c>
      <c r="H94" s="53"/>
      <c r="L94" s="53"/>
      <c r="M94" s="53"/>
      <c r="N94" s="53"/>
      <c r="O94" s="53"/>
      <c r="P94" s="53"/>
      <c r="Q94" s="53"/>
      <c r="R94" s="53"/>
      <c r="S94" s="53"/>
      <c r="T94" s="53"/>
      <c r="U94" s="53"/>
    </row>
    <row r="95" spans="3:23" x14ac:dyDescent="0.35">
      <c r="D95" s="24" t="s">
        <v>599</v>
      </c>
      <c r="H95" s="53"/>
      <c r="L95" s="53"/>
      <c r="M95" s="53"/>
      <c r="N95" s="53"/>
      <c r="O95" s="53"/>
      <c r="P95" s="53"/>
      <c r="Q95" s="53"/>
      <c r="R95" s="53"/>
      <c r="S95" s="53"/>
      <c r="T95" s="53"/>
      <c r="U95" s="53"/>
    </row>
    <row r="96" spans="3:23" x14ac:dyDescent="0.35">
      <c r="D96" s="24"/>
      <c r="H96" s="53"/>
      <c r="L96" s="53"/>
      <c r="M96" s="53"/>
      <c r="N96" s="53"/>
      <c r="O96" s="53"/>
      <c r="P96" s="53"/>
      <c r="Q96" s="53"/>
      <c r="R96" s="53"/>
      <c r="S96" s="53"/>
      <c r="T96" s="53"/>
      <c r="U96" s="53"/>
    </row>
    <row r="97" spans="2:23" x14ac:dyDescent="0.35">
      <c r="E97" s="23" t="s">
        <v>600</v>
      </c>
      <c r="F97" s="23"/>
      <c r="G97" s="23" t="s">
        <v>356</v>
      </c>
      <c r="I97" t="s">
        <v>154</v>
      </c>
      <c r="J97" s="69"/>
      <c r="K97" s="88">
        <f t="shared" ref="K97:U97" si="8">K78 * $H$90</f>
        <v>0</v>
      </c>
      <c r="L97" s="88">
        <f t="shared" si="8"/>
        <v>30504575.70987362</v>
      </c>
      <c r="M97" s="88">
        <f t="shared" si="8"/>
        <v>7892993.8202622412</v>
      </c>
      <c r="N97" s="88">
        <f t="shared" si="8"/>
        <v>22657056.391020138</v>
      </c>
      <c r="O97" s="88">
        <f t="shared" si="8"/>
        <v>19503252.165419236</v>
      </c>
      <c r="P97" s="88">
        <f t="shared" si="8"/>
        <v>0</v>
      </c>
      <c r="Q97" s="88">
        <f t="shared" si="8"/>
        <v>61985950.671299458</v>
      </c>
      <c r="R97" s="88">
        <f t="shared" si="8"/>
        <v>23641264.029410493</v>
      </c>
      <c r="S97" s="88">
        <f t="shared" si="8"/>
        <v>42256571.575691633</v>
      </c>
      <c r="T97" s="88">
        <f t="shared" si="8"/>
        <v>54439761.633083999</v>
      </c>
      <c r="U97" s="88">
        <f t="shared" si="8"/>
        <v>1773143.977471184</v>
      </c>
      <c r="W97" s="3" t="s">
        <v>601</v>
      </c>
    </row>
    <row r="98" spans="2:23" x14ac:dyDescent="0.35">
      <c r="E98" s="23" t="s">
        <v>355</v>
      </c>
      <c r="F98" s="23"/>
      <c r="G98" s="23" t="s">
        <v>356</v>
      </c>
      <c r="H98" s="53"/>
      <c r="I98" s="53"/>
      <c r="J98" s="110">
        <f>'General inputs'!$H$98</f>
        <v>14861765.183210503</v>
      </c>
      <c r="K98" s="69"/>
      <c r="L98" s="69"/>
      <c r="M98" s="69"/>
      <c r="N98" s="69"/>
      <c r="O98" s="69"/>
      <c r="P98" s="69"/>
      <c r="Q98" s="69"/>
      <c r="R98" s="69"/>
      <c r="S98" s="69"/>
      <c r="T98" s="69"/>
      <c r="U98" s="69"/>
    </row>
    <row r="99" spans="2:23" x14ac:dyDescent="0.35">
      <c r="J99" s="79"/>
      <c r="K99" s="79"/>
      <c r="L99" s="79"/>
      <c r="M99" s="79"/>
      <c r="N99" s="79"/>
      <c r="O99" s="79"/>
      <c r="P99" s="79"/>
      <c r="Q99" s="79"/>
      <c r="R99" s="79"/>
      <c r="S99" s="79"/>
      <c r="T99" s="79"/>
      <c r="U99" s="79"/>
    </row>
    <row r="100" spans="2:23" x14ac:dyDescent="0.35">
      <c r="E100" s="23" t="s">
        <v>602</v>
      </c>
      <c r="F100" s="23"/>
      <c r="G100" s="23" t="s">
        <v>603</v>
      </c>
      <c r="I100" t="s">
        <v>154</v>
      </c>
      <c r="J100" s="88">
        <f t="shared" ref="J100:S100" si="9">IF(J$67 = 0, 0, SUM(J97:J98) / J$67)</f>
        <v>3.505229242799758</v>
      </c>
      <c r="K100" s="88">
        <f t="shared" si="9"/>
        <v>0</v>
      </c>
      <c r="L100" s="88">
        <f t="shared" si="9"/>
        <v>7.3409039550583453</v>
      </c>
      <c r="M100" s="88">
        <f t="shared" si="9"/>
        <v>1.9070107242284089</v>
      </c>
      <c r="N100" s="88">
        <f t="shared" si="9"/>
        <v>5.2798396505879222</v>
      </c>
      <c r="O100" s="88">
        <f t="shared" si="9"/>
        <v>3.7538826779776913</v>
      </c>
      <c r="P100" s="88">
        <f t="shared" si="9"/>
        <v>0</v>
      </c>
      <c r="Q100" s="88">
        <f t="shared" si="9"/>
        <v>12.256269503423358</v>
      </c>
      <c r="R100" s="88">
        <f t="shared" si="9"/>
        <v>4.780021042088916</v>
      </c>
      <c r="S100" s="88">
        <f t="shared" si="9"/>
        <v>12.908037850260179</v>
      </c>
      <c r="T100" s="69"/>
      <c r="U100" s="69"/>
      <c r="W100" s="3" t="s">
        <v>604</v>
      </c>
    </row>
    <row r="101" spans="2:23" x14ac:dyDescent="0.35">
      <c r="J101" s="79"/>
      <c r="K101" s="79"/>
      <c r="L101" s="79"/>
      <c r="M101" s="79"/>
      <c r="N101" s="79"/>
      <c r="O101" s="79"/>
      <c r="P101" s="79"/>
      <c r="Q101" s="79"/>
      <c r="R101" s="79"/>
      <c r="S101" s="79"/>
      <c r="T101" s="79"/>
      <c r="U101" s="79"/>
    </row>
    <row r="102" spans="2:23" x14ac:dyDescent="0.35">
      <c r="B102" s="25" t="s">
        <v>605</v>
      </c>
      <c r="C102" s="25"/>
      <c r="D102" s="25"/>
      <c r="E102" s="25"/>
      <c r="F102" s="25"/>
      <c r="G102" s="25"/>
      <c r="H102" s="25"/>
      <c r="I102" s="25"/>
      <c r="J102" s="174"/>
      <c r="K102" s="174"/>
      <c r="L102" s="174"/>
      <c r="M102" s="174"/>
      <c r="N102" s="174"/>
      <c r="O102" s="174"/>
      <c r="P102" s="174"/>
      <c r="Q102" s="174"/>
      <c r="R102" s="174"/>
      <c r="S102" s="174"/>
      <c r="T102" s="174"/>
      <c r="U102" s="174"/>
      <c r="V102" s="25"/>
      <c r="W102" s="25"/>
    </row>
    <row r="103" spans="2:23" x14ac:dyDescent="0.35">
      <c r="B103" s="24"/>
      <c r="J103" s="79"/>
      <c r="K103" s="79"/>
      <c r="L103" s="79"/>
      <c r="M103" s="79"/>
      <c r="N103" s="79"/>
      <c r="O103" s="79"/>
      <c r="P103" s="79"/>
      <c r="Q103" s="79"/>
      <c r="R103" s="79"/>
      <c r="S103" s="79"/>
      <c r="T103" s="79"/>
      <c r="U103" s="79"/>
    </row>
    <row r="104" spans="2:23" x14ac:dyDescent="0.35">
      <c r="C104" s="26" t="str">
        <f ca="1">INDEX('Version control'!$H$38:$H$61,MATCH($A$1,'Version control'!$F$38:$F$61,0),1)&amp;"-J: Notional asset values by network level"</f>
        <v>Section 108-J: Notional asset values by network level</v>
      </c>
      <c r="D104" s="26"/>
      <c r="E104" s="26"/>
      <c r="F104" s="26"/>
      <c r="G104" s="26"/>
      <c r="H104" s="165"/>
      <c r="I104" s="165"/>
      <c r="J104" s="175"/>
      <c r="K104" s="175"/>
      <c r="L104" s="175"/>
      <c r="M104" s="175"/>
      <c r="N104" s="175"/>
      <c r="O104" s="175"/>
      <c r="P104" s="175"/>
      <c r="Q104" s="175"/>
      <c r="R104" s="175"/>
      <c r="S104" s="175"/>
      <c r="T104" s="175"/>
      <c r="U104" s="175"/>
      <c r="V104" s="26"/>
      <c r="W104" s="165"/>
    </row>
    <row r="105" spans="2:23" x14ac:dyDescent="0.35">
      <c r="B105" s="24"/>
      <c r="J105" s="79"/>
      <c r="K105" s="79"/>
      <c r="L105" s="79"/>
      <c r="M105" s="79"/>
      <c r="N105" s="79"/>
      <c r="O105" s="79"/>
      <c r="P105" s="79"/>
      <c r="Q105" s="79"/>
      <c r="R105" s="79"/>
      <c r="S105" s="79"/>
      <c r="T105" s="79"/>
      <c r="U105" s="79"/>
    </row>
    <row r="106" spans="2:23" x14ac:dyDescent="0.35">
      <c r="B106" s="24"/>
      <c r="D106" s="24" t="s">
        <v>606</v>
      </c>
      <c r="J106" s="79"/>
      <c r="K106" s="79"/>
      <c r="L106" s="79"/>
      <c r="M106" s="79"/>
      <c r="N106" s="79"/>
      <c r="O106" s="79"/>
      <c r="P106" s="79"/>
      <c r="Q106" s="79"/>
      <c r="R106" s="79"/>
      <c r="S106" s="79"/>
      <c r="T106" s="79"/>
      <c r="U106" s="79"/>
    </row>
    <row r="107" spans="2:23" x14ac:dyDescent="0.35">
      <c r="B107" s="24"/>
      <c r="D107" s="24"/>
      <c r="J107" s="79"/>
      <c r="K107" s="79"/>
      <c r="L107" s="79"/>
      <c r="M107" s="79"/>
      <c r="N107" s="79"/>
      <c r="O107" s="79"/>
      <c r="P107" s="79"/>
      <c r="Q107" s="79"/>
      <c r="R107" s="79"/>
      <c r="S107" s="79"/>
      <c r="T107" s="79"/>
      <c r="U107" s="79"/>
    </row>
    <row r="108" spans="2:23" x14ac:dyDescent="0.35">
      <c r="B108" s="24"/>
      <c r="E108" s="23" t="s">
        <v>593</v>
      </c>
      <c r="F108" s="23"/>
      <c r="G108" s="23" t="s">
        <v>277</v>
      </c>
      <c r="J108" s="69"/>
      <c r="K108" s="111">
        <f t="shared" ref="K108:U108" si="10">K76</f>
        <v>0</v>
      </c>
      <c r="L108" s="111">
        <f t="shared" si="10"/>
        <v>942489173.62997806</v>
      </c>
      <c r="M108" s="111">
        <f t="shared" si="10"/>
        <v>243867060.92481834</v>
      </c>
      <c r="N108" s="111">
        <f t="shared" si="10"/>
        <v>700027122.42113173</v>
      </c>
      <c r="O108" s="111">
        <f t="shared" si="10"/>
        <v>602585139.72818041</v>
      </c>
      <c r="P108" s="111">
        <f t="shared" si="10"/>
        <v>0</v>
      </c>
      <c r="Q108" s="111">
        <f t="shared" si="10"/>
        <v>1915158171.039634</v>
      </c>
      <c r="R108" s="111">
        <f t="shared" si="10"/>
        <v>730435840.52982497</v>
      </c>
      <c r="S108" s="111">
        <f t="shared" si="10"/>
        <v>1305586466.8826966</v>
      </c>
      <c r="T108" s="111">
        <f t="shared" si="10"/>
        <v>1682006215.7944007</v>
      </c>
      <c r="U108" s="111">
        <f t="shared" si="10"/>
        <v>54784207.390659429</v>
      </c>
    </row>
    <row r="109" spans="2:23" x14ac:dyDescent="0.35">
      <c r="B109" s="24"/>
    </row>
    <row r="110" spans="2:23" x14ac:dyDescent="0.35">
      <c r="C110" s="26" t="str">
        <f ca="1">INDEX('Version control'!$H$38:$H$61,MATCH($A$1,'Version control'!$F$38:$F$61,0),1)&amp;"-K: Unit costs"</f>
        <v>Section 108-K: Unit costs</v>
      </c>
      <c r="D110" s="26"/>
      <c r="E110" s="26"/>
      <c r="F110" s="26"/>
      <c r="G110" s="26"/>
      <c r="H110" s="165"/>
      <c r="I110" s="165"/>
      <c r="J110" s="165"/>
      <c r="K110" s="165"/>
      <c r="L110" s="165"/>
      <c r="M110" s="165"/>
      <c r="N110" s="165"/>
      <c r="O110" s="165"/>
      <c r="P110" s="165"/>
      <c r="Q110" s="165"/>
      <c r="R110" s="165"/>
      <c r="S110" s="165"/>
      <c r="T110" s="165"/>
      <c r="U110" s="165"/>
      <c r="V110" s="26"/>
      <c r="W110" s="165"/>
    </row>
    <row r="111" spans="2:23" x14ac:dyDescent="0.35">
      <c r="B111" s="24"/>
    </row>
    <row r="112" spans="2:23" x14ac:dyDescent="0.35">
      <c r="B112" s="24"/>
      <c r="D112" s="24" t="s">
        <v>607</v>
      </c>
    </row>
    <row r="113" spans="2:24" x14ac:dyDescent="0.35">
      <c r="B113" s="24"/>
      <c r="D113" s="24"/>
    </row>
    <row r="114" spans="2:24" x14ac:dyDescent="0.35">
      <c r="E114" t="s">
        <v>583</v>
      </c>
      <c r="F114" s="167"/>
      <c r="G114" s="23" t="s">
        <v>603</v>
      </c>
      <c r="H114" s="3"/>
      <c r="I114" s="3"/>
      <c r="J114" s="69"/>
      <c r="K114" s="69"/>
      <c r="L114" s="111">
        <f t="shared" ref="L114:S114" si="11">L56</f>
        <v>11.019656495328036</v>
      </c>
      <c r="M114" s="111">
        <f t="shared" si="11"/>
        <v>2.86267239600968</v>
      </c>
      <c r="N114" s="111">
        <f t="shared" si="11"/>
        <v>7.9257295363196567</v>
      </c>
      <c r="O114" s="111">
        <f t="shared" si="11"/>
        <v>5.6350686357328161</v>
      </c>
      <c r="P114" s="111">
        <f t="shared" si="11"/>
        <v>0</v>
      </c>
      <c r="Q114" s="111">
        <f t="shared" si="11"/>
        <v>18.398262757384991</v>
      </c>
      <c r="R114" s="111">
        <f t="shared" si="11"/>
        <v>7.1754364648735089</v>
      </c>
      <c r="S114" s="111">
        <f t="shared" si="11"/>
        <v>19.376652250101426</v>
      </c>
      <c r="T114" s="69"/>
      <c r="U114" s="69"/>
    </row>
    <row r="115" spans="2:24" x14ac:dyDescent="0.35">
      <c r="B115" s="24"/>
      <c r="E115" t="s">
        <v>602</v>
      </c>
      <c r="F115" s="23"/>
      <c r="G115" s="23" t="s">
        <v>603</v>
      </c>
      <c r="J115" s="111">
        <f t="shared" ref="J115:S115" si="12">J100</f>
        <v>3.505229242799758</v>
      </c>
      <c r="K115" s="111">
        <f t="shared" si="12"/>
        <v>0</v>
      </c>
      <c r="L115" s="111">
        <f t="shared" si="12"/>
        <v>7.3409039550583453</v>
      </c>
      <c r="M115" s="111">
        <f t="shared" si="12"/>
        <v>1.9070107242284089</v>
      </c>
      <c r="N115" s="111">
        <f t="shared" si="12"/>
        <v>5.2798396505879222</v>
      </c>
      <c r="O115" s="111">
        <f t="shared" si="12"/>
        <v>3.7538826779776913</v>
      </c>
      <c r="P115" s="111">
        <f t="shared" si="12"/>
        <v>0</v>
      </c>
      <c r="Q115" s="111">
        <f t="shared" si="12"/>
        <v>12.256269503423358</v>
      </c>
      <c r="R115" s="111">
        <f t="shared" si="12"/>
        <v>4.780021042088916</v>
      </c>
      <c r="S115" s="111">
        <f t="shared" si="12"/>
        <v>12.908037850260179</v>
      </c>
      <c r="T115" s="69"/>
      <c r="U115" s="69"/>
    </row>
    <row r="116" spans="2:24" x14ac:dyDescent="0.35">
      <c r="B116" s="24"/>
    </row>
    <row r="117" spans="2:24" x14ac:dyDescent="0.35">
      <c r="C117" s="26" t="str">
        <f ca="1">INDEX('Version control'!$H$38:$H$61,MATCH($A$1,'Version control'!$F$38:$F$61,0),1)&amp;"-L: Values used for allocating costs to service models"</f>
        <v>Section 108-L: Values used for allocating costs to service models</v>
      </c>
      <c r="D117" s="26"/>
      <c r="E117" s="26"/>
      <c r="F117" s="26"/>
      <c r="G117" s="26"/>
      <c r="H117" s="165"/>
      <c r="I117" s="165"/>
      <c r="J117" s="165"/>
      <c r="K117" s="165"/>
      <c r="L117" s="165"/>
      <c r="M117" s="165"/>
      <c r="N117" s="165"/>
      <c r="O117" s="165"/>
      <c r="P117" s="165"/>
      <c r="Q117" s="165"/>
      <c r="R117" s="165"/>
      <c r="S117" s="165"/>
      <c r="T117" s="165"/>
      <c r="U117" s="165"/>
      <c r="V117" s="26"/>
      <c r="W117" s="165"/>
    </row>
    <row r="118" spans="2:24" x14ac:dyDescent="0.35">
      <c r="B118" s="24"/>
    </row>
    <row r="119" spans="2:24" x14ac:dyDescent="0.35">
      <c r="B119" s="24"/>
      <c r="D119" s="24" t="s">
        <v>608</v>
      </c>
    </row>
    <row r="120" spans="2:24" x14ac:dyDescent="0.35">
      <c r="B120" s="24"/>
      <c r="D120" s="24"/>
    </row>
    <row r="121" spans="2:24" x14ac:dyDescent="0.35">
      <c r="B121" s="24"/>
      <c r="C121" s="27"/>
      <c r="E121" t="s">
        <v>567</v>
      </c>
      <c r="F121" s="23"/>
      <c r="G121" s="23" t="s">
        <v>167</v>
      </c>
      <c r="H121" s="176">
        <f>H25</f>
        <v>4.8585551125484371E-2</v>
      </c>
    </row>
    <row r="122" spans="2:24" x14ac:dyDescent="0.35">
      <c r="B122" s="24"/>
      <c r="C122" s="27"/>
      <c r="E122" t="s">
        <v>597</v>
      </c>
      <c r="F122" s="23"/>
      <c r="G122" s="23" t="s">
        <v>356</v>
      </c>
      <c r="H122" s="111">
        <f>H90</f>
        <v>264654569.97353205</v>
      </c>
    </row>
    <row r="123" spans="2:24" x14ac:dyDescent="0.35">
      <c r="E123" t="s">
        <v>593</v>
      </c>
      <c r="F123" s="23"/>
      <c r="G123" s="23" t="s">
        <v>277</v>
      </c>
      <c r="H123" s="111">
        <f>SUM(K76:U76)</f>
        <v>8176939398.3413258</v>
      </c>
      <c r="X123" s="53"/>
    </row>
    <row r="124" spans="2:24" x14ac:dyDescent="0.35">
      <c r="B124" s="24"/>
      <c r="C124" s="27"/>
    </row>
    <row r="125" spans="2:24" x14ac:dyDescent="0.35">
      <c r="B125" s="25" t="s">
        <v>231</v>
      </c>
      <c r="C125" s="25"/>
      <c r="D125" s="25"/>
      <c r="E125" s="25"/>
      <c r="F125" s="25"/>
      <c r="G125" s="25"/>
      <c r="H125" s="25"/>
      <c r="I125" s="25"/>
      <c r="J125" s="25"/>
      <c r="K125" s="25"/>
      <c r="L125" s="25"/>
      <c r="M125" s="25"/>
      <c r="N125" s="25"/>
      <c r="O125" s="25"/>
      <c r="P125" s="25"/>
      <c r="Q125" s="25"/>
      <c r="R125" s="25"/>
      <c r="S125" s="25"/>
      <c r="T125" s="25"/>
      <c r="U125" s="25"/>
      <c r="V125" s="25"/>
      <c r="W125" s="25"/>
    </row>
    <row r="127" spans="2:24" x14ac:dyDescent="0.35">
      <c r="E127" t="s">
        <v>232</v>
      </c>
      <c r="G127" s="6" t="s">
        <v>55</v>
      </c>
      <c r="H127" s="177">
        <f t="array" ref="H127">SUM(IF(ISERROR(H23:U123), 1))</f>
        <v>0</v>
      </c>
    </row>
    <row r="129" spans="2:23" x14ac:dyDescent="0.35">
      <c r="E129" t="s">
        <v>609</v>
      </c>
      <c r="G129" s="6" t="s">
        <v>55</v>
      </c>
      <c r="H129" s="177">
        <f>SUM(J129:U129)</f>
        <v>0</v>
      </c>
      <c r="J129" s="178"/>
      <c r="K129" s="178"/>
      <c r="L129" s="178"/>
      <c r="M129" s="178"/>
      <c r="N129" s="177">
        <f t="shared" ref="N129:U129" si="13">IFERROR(IF(OR(AND(N54&gt;0, N48=0), AND(N48&gt;0, N54=0)), 1, 0),1)</f>
        <v>0</v>
      </c>
      <c r="O129" s="177">
        <f t="shared" si="13"/>
        <v>0</v>
      </c>
      <c r="P129" s="177">
        <f t="shared" si="13"/>
        <v>0</v>
      </c>
      <c r="Q129" s="177">
        <f t="shared" si="13"/>
        <v>0</v>
      </c>
      <c r="R129" s="177">
        <f t="shared" si="13"/>
        <v>0</v>
      </c>
      <c r="S129" s="177">
        <f t="shared" si="13"/>
        <v>0</v>
      </c>
      <c r="T129" s="177">
        <f t="shared" si="13"/>
        <v>0</v>
      </c>
      <c r="U129" s="177">
        <f t="shared" si="13"/>
        <v>0</v>
      </c>
    </row>
    <row r="131" spans="2:23" x14ac:dyDescent="0.35">
      <c r="E131" t="s">
        <v>239</v>
      </c>
      <c r="G131" s="6" t="s">
        <v>55</v>
      </c>
      <c r="H131" s="93">
        <f>H127 + H129</f>
        <v>0</v>
      </c>
    </row>
    <row r="133" spans="2:23" x14ac:dyDescent="0.35">
      <c r="B133" s="25" t="s">
        <v>106</v>
      </c>
      <c r="C133" s="25"/>
      <c r="D133" s="25"/>
      <c r="E133" s="25"/>
      <c r="F133" s="25"/>
      <c r="G133" s="25"/>
      <c r="H133" s="25"/>
      <c r="I133" s="25"/>
      <c r="J133" s="25"/>
      <c r="K133" s="25"/>
      <c r="L133" s="25"/>
      <c r="M133" s="25"/>
      <c r="N133" s="25"/>
      <c r="O133" s="25"/>
      <c r="P133" s="25"/>
      <c r="Q133" s="25"/>
      <c r="R133" s="25"/>
      <c r="S133" s="25"/>
      <c r="T133" s="25"/>
      <c r="U133" s="25"/>
      <c r="V133" s="25"/>
      <c r="W133" s="25"/>
    </row>
  </sheetData>
  <sheetProtection sheet="1" objects="1" formatCells="0" formatColumns="0" formatRows="0" sort="0" autoFilter="0"/>
  <conditionalFormatting sqref="H127">
    <cfRule type="cellIs" dxfId="125" priority="6" operator="greaterThan">
      <formula>0</formula>
    </cfRule>
  </conditionalFormatting>
  <conditionalFormatting sqref="H129">
    <cfRule type="cellIs" dxfId="124" priority="5" operator="greaterThan">
      <formula>0</formula>
    </cfRule>
  </conditionalFormatting>
  <conditionalFormatting sqref="J129:U129">
    <cfRule type="cellIs" dxfId="123" priority="4" operator="greaterThan">
      <formula>0</formula>
    </cfRule>
  </conditionalFormatting>
  <conditionalFormatting sqref="H132">
    <cfRule type="cellIs" dxfId="122" priority="3" operator="greaterThan">
      <formula>0</formula>
    </cfRule>
  </conditionalFormatting>
  <conditionalFormatting sqref="A4:XFD4">
    <cfRule type="expression" dxfId="121" priority="2">
      <formula>LEFT($A$4,1) &lt;&gt; "0"</formula>
    </cfRule>
  </conditionalFormatting>
  <conditionalFormatting sqref="H131">
    <cfRule type="cellIs" dxfId="120" priority="1" operator="greaterThan">
      <formula>0</formula>
    </cfRule>
  </conditionalFormatting>
  <hyperlinks>
    <hyperlink ref="B5:F5" location="'Model map'!A1" display="Click here to return to model map" xr:uid="{00000000-0004-0000-10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84" width="24.54296875" hidden="1" customWidth="1"/>
    <col min="285" max="16384" width="8.54296875" hidden="1"/>
  </cols>
  <sheetData>
    <row r="1" spans="1:27" s="1" customFormat="1" x14ac:dyDescent="0.35">
      <c r="A1" s="1" t="str">
        <f ca="1">MID(CELL("filename",A1),FIND("]",CELL("filename",A1))+1,255)</f>
        <v>Initial unit rates</v>
      </c>
    </row>
    <row r="2" spans="1:27" s="1" customFormat="1" x14ac:dyDescent="0.35">
      <c r="A2" s="1" t="str">
        <f>Cover!D21&amp;" - "&amp;Cover!D23</f>
        <v>Southern Electric Power Distribution - Final</v>
      </c>
    </row>
    <row r="3" spans="1:27" s="5" customFormat="1" x14ac:dyDescent="0.35">
      <c r="A3" s="5" t="str">
        <f>Cover!D2&amp;" - "&amp;Cover!D8&amp;" v"&amp;Cover!D10&amp;" - "&amp;Cover!D19</f>
        <v>CDCM charging model - Release for charge setting v9 - 2024/25</v>
      </c>
    </row>
    <row r="4" spans="1:27" x14ac:dyDescent="0.35">
      <c r="A4" s="11" t="str">
        <f>H241 &amp; IF(H241 = 1, " issue", " issues") &amp;" identified in checks on this sheet"</f>
        <v>0 issues identified in checks on this sheet</v>
      </c>
      <c r="B4" s="12"/>
      <c r="C4" s="12"/>
      <c r="D4" s="12"/>
      <c r="E4" s="12"/>
      <c r="F4" s="12"/>
      <c r="G4" s="12"/>
      <c r="H4" s="13"/>
      <c r="I4" s="13"/>
    </row>
    <row r="5" spans="1:27" ht="43.5" x14ac:dyDescent="0.3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6" spans="1:27" x14ac:dyDescent="0.35">
      <c r="H6" s="3"/>
      <c r="I6" s="3"/>
      <c r="J6" s="3"/>
      <c r="K6" s="3"/>
      <c r="L6" s="3"/>
      <c r="M6" s="3"/>
      <c r="N6" s="3"/>
      <c r="P6" s="3"/>
    </row>
    <row r="7" spans="1:27" x14ac:dyDescent="0.3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35">
      <c r="C9" s="24" t="s">
        <v>610</v>
      </c>
      <c r="E9" s="23"/>
    </row>
    <row r="11" spans="1:27" x14ac:dyDescent="0.35">
      <c r="B11" s="25" t="s">
        <v>611</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row>
    <row r="13" spans="1:27" x14ac:dyDescent="0.35">
      <c r="C13" s="26" t="str">
        <f ca="1">INDEX('Version control'!$H$38:$H$61,MATCH($A$1,'Version control'!$F$38:$F$61,0),1)&amp;"-A: Inputs for yardstick and unit rate calculations"</f>
        <v>Section 109-A: Inputs for yardstick and unit rate calculations</v>
      </c>
      <c r="D13" s="26"/>
      <c r="E13" s="26"/>
      <c r="F13" s="26"/>
      <c r="G13" s="26"/>
      <c r="H13" s="26"/>
      <c r="I13" s="26"/>
      <c r="J13" s="179"/>
      <c r="K13" s="179"/>
      <c r="L13" s="179"/>
      <c r="M13" s="179"/>
      <c r="N13" s="179"/>
      <c r="O13" s="179"/>
      <c r="P13" s="179"/>
      <c r="Q13" s="179"/>
      <c r="R13" s="179"/>
      <c r="S13" s="179"/>
      <c r="T13" s="179"/>
      <c r="U13" s="179"/>
      <c r="V13" s="179"/>
      <c r="W13" s="179"/>
      <c r="X13" s="179"/>
      <c r="Y13" s="179"/>
      <c r="Z13" s="26"/>
      <c r="AA13" s="26"/>
    </row>
    <row r="14" spans="1:27" x14ac:dyDescent="0.35">
      <c r="C14" s="27"/>
      <c r="D14" s="27"/>
      <c r="E14" s="27"/>
      <c r="J14" s="53"/>
      <c r="L14" s="53"/>
    </row>
    <row r="15" spans="1:27" x14ac:dyDescent="0.35">
      <c r="D15" s="24" t="s">
        <v>612</v>
      </c>
    </row>
    <row r="17" spans="5:27" x14ac:dyDescent="0.35">
      <c r="E17" s="27" t="s">
        <v>613</v>
      </c>
      <c r="G17" s="23"/>
      <c r="H17" s="3"/>
      <c r="I17" s="3" t="s">
        <v>154</v>
      </c>
      <c r="AA17" t="s">
        <v>614</v>
      </c>
    </row>
    <row r="18" spans="5:27" x14ac:dyDescent="0.35">
      <c r="F18" s="180" t="s">
        <v>189</v>
      </c>
      <c r="G18" s="54" t="s">
        <v>584</v>
      </c>
      <c r="H18" s="73"/>
    </row>
    <row r="19" spans="5:27" x14ac:dyDescent="0.35">
      <c r="F19" s="181" t="s">
        <v>191</v>
      </c>
      <c r="G19" s="23" t="s">
        <v>584</v>
      </c>
      <c r="H19" s="69"/>
    </row>
    <row r="20" spans="5:27" x14ac:dyDescent="0.35">
      <c r="F20" s="181" t="s">
        <v>192</v>
      </c>
      <c r="G20" s="23" t="s">
        <v>584</v>
      </c>
      <c r="H20" s="184">
        <f t="array" ref="H20:H27">TRANSPOSE('Unit costs'!L114:S114)</f>
        <v>11.019656495328036</v>
      </c>
    </row>
    <row r="21" spans="5:27" x14ac:dyDescent="0.35">
      <c r="F21" s="181" t="s">
        <v>193</v>
      </c>
      <c r="G21" s="23" t="s">
        <v>584</v>
      </c>
      <c r="H21" s="184">
        <v>2.86267239600968</v>
      </c>
    </row>
    <row r="22" spans="5:27" x14ac:dyDescent="0.35">
      <c r="F22" s="181" t="s">
        <v>194</v>
      </c>
      <c r="G22" s="23" t="s">
        <v>584</v>
      </c>
      <c r="H22" s="184">
        <v>7.9257295363196567</v>
      </c>
    </row>
    <row r="23" spans="5:27" x14ac:dyDescent="0.35">
      <c r="F23" s="181" t="s">
        <v>195</v>
      </c>
      <c r="G23" s="23" t="s">
        <v>584</v>
      </c>
      <c r="H23" s="184">
        <v>5.6350686357328161</v>
      </c>
    </row>
    <row r="24" spans="5:27" x14ac:dyDescent="0.35">
      <c r="F24" s="181" t="s">
        <v>196</v>
      </c>
      <c r="G24" s="23" t="s">
        <v>584</v>
      </c>
      <c r="H24" s="184">
        <v>0</v>
      </c>
    </row>
    <row r="25" spans="5:27" x14ac:dyDescent="0.35">
      <c r="F25" s="181" t="s">
        <v>197</v>
      </c>
      <c r="G25" s="23" t="s">
        <v>584</v>
      </c>
      <c r="H25" s="184">
        <v>18.398262757384991</v>
      </c>
    </row>
    <row r="26" spans="5:27" x14ac:dyDescent="0.35">
      <c r="F26" s="181" t="s">
        <v>198</v>
      </c>
      <c r="G26" s="23" t="s">
        <v>584</v>
      </c>
      <c r="H26" s="184">
        <v>7.1754364648735089</v>
      </c>
    </row>
    <row r="27" spans="5:27" x14ac:dyDescent="0.35">
      <c r="F27" s="182" t="s">
        <v>199</v>
      </c>
      <c r="G27" s="57" t="s">
        <v>584</v>
      </c>
      <c r="H27" s="185">
        <v>19.376652250101426</v>
      </c>
    </row>
    <row r="28" spans="5:27" x14ac:dyDescent="0.35">
      <c r="F28" s="181"/>
      <c r="G28" s="23"/>
      <c r="H28" s="110"/>
    </row>
    <row r="29" spans="5:27" x14ac:dyDescent="0.35">
      <c r="E29" s="27" t="s">
        <v>615</v>
      </c>
      <c r="G29" s="23"/>
      <c r="H29" s="79"/>
    </row>
    <row r="30" spans="5:27" x14ac:dyDescent="0.35">
      <c r="F30" s="180" t="s">
        <v>189</v>
      </c>
      <c r="G30" s="54" t="s">
        <v>603</v>
      </c>
      <c r="H30" s="183">
        <f t="array" ref="H30:H39">TRANSPOSE('Unit costs'!J115:S115)</f>
        <v>3.505229242799758</v>
      </c>
    </row>
    <row r="31" spans="5:27" x14ac:dyDescent="0.35">
      <c r="F31" s="181" t="s">
        <v>191</v>
      </c>
      <c r="G31" s="23" t="s">
        <v>603</v>
      </c>
      <c r="H31" s="184">
        <v>0</v>
      </c>
    </row>
    <row r="32" spans="5:27" x14ac:dyDescent="0.35">
      <c r="F32" s="181" t="s">
        <v>192</v>
      </c>
      <c r="G32" s="23" t="s">
        <v>603</v>
      </c>
      <c r="H32" s="184">
        <v>7.3409039550583453</v>
      </c>
    </row>
    <row r="33" spans="5:16" x14ac:dyDescent="0.35">
      <c r="F33" s="181" t="s">
        <v>193</v>
      </c>
      <c r="G33" s="23" t="s">
        <v>603</v>
      </c>
      <c r="H33" s="184">
        <v>1.9070107242284089</v>
      </c>
      <c r="J33" s="53"/>
      <c r="K33" s="53"/>
      <c r="L33" s="53"/>
      <c r="M33" s="53"/>
      <c r="N33" s="53"/>
    </row>
    <row r="34" spans="5:16" x14ac:dyDescent="0.35">
      <c r="F34" s="181" t="s">
        <v>194</v>
      </c>
      <c r="G34" s="23" t="s">
        <v>603</v>
      </c>
      <c r="H34" s="184">
        <v>5.2798396505879222</v>
      </c>
      <c r="J34" s="53"/>
      <c r="K34" s="53"/>
      <c r="L34" s="53"/>
      <c r="M34" s="53"/>
      <c r="N34" s="53"/>
    </row>
    <row r="35" spans="5:16" x14ac:dyDescent="0.35">
      <c r="F35" s="181" t="s">
        <v>195</v>
      </c>
      <c r="G35" s="23" t="s">
        <v>603</v>
      </c>
      <c r="H35" s="184">
        <v>3.7538826779776913</v>
      </c>
      <c r="J35" s="53"/>
      <c r="K35" s="53"/>
      <c r="L35" s="53"/>
      <c r="M35" s="53"/>
      <c r="N35" s="53"/>
    </row>
    <row r="36" spans="5:16" x14ac:dyDescent="0.35">
      <c r="F36" s="181" t="s">
        <v>196</v>
      </c>
      <c r="G36" s="23" t="s">
        <v>603</v>
      </c>
      <c r="H36" s="184">
        <v>0</v>
      </c>
      <c r="J36" s="53"/>
      <c r="K36" s="53"/>
      <c r="L36" s="53"/>
      <c r="M36" s="53"/>
      <c r="N36" s="53"/>
    </row>
    <row r="37" spans="5:16" x14ac:dyDescent="0.35">
      <c r="F37" s="181" t="s">
        <v>197</v>
      </c>
      <c r="G37" s="23" t="s">
        <v>603</v>
      </c>
      <c r="H37" s="184">
        <v>12.256269503423358</v>
      </c>
      <c r="J37" s="53"/>
      <c r="K37" s="53"/>
      <c r="L37" s="53"/>
      <c r="M37" s="53"/>
      <c r="N37" s="53"/>
      <c r="O37" s="53"/>
    </row>
    <row r="38" spans="5:16" x14ac:dyDescent="0.35">
      <c r="F38" s="181" t="s">
        <v>198</v>
      </c>
      <c r="G38" s="23" t="s">
        <v>603</v>
      </c>
      <c r="H38" s="184">
        <v>4.780021042088916</v>
      </c>
      <c r="J38" s="53"/>
      <c r="K38" s="53"/>
      <c r="L38" s="53"/>
      <c r="M38" s="53"/>
      <c r="N38" s="53"/>
      <c r="O38" s="53"/>
    </row>
    <row r="39" spans="5:16" x14ac:dyDescent="0.35">
      <c r="F39" s="182" t="s">
        <v>199</v>
      </c>
      <c r="G39" s="57" t="s">
        <v>603</v>
      </c>
      <c r="H39" s="185">
        <v>12.908037850260179</v>
      </c>
      <c r="J39" s="53"/>
      <c r="K39" s="53"/>
      <c r="L39" s="53"/>
      <c r="M39" s="53"/>
      <c r="N39" s="53"/>
      <c r="O39" s="53"/>
    </row>
    <row r="40" spans="5:16" x14ac:dyDescent="0.35">
      <c r="G40" s="23"/>
      <c r="H40" s="79"/>
      <c r="J40" s="53"/>
      <c r="K40" s="53"/>
      <c r="L40" s="53"/>
      <c r="M40" s="53"/>
      <c r="N40" s="53"/>
      <c r="O40" s="53"/>
    </row>
    <row r="41" spans="5:16" x14ac:dyDescent="0.35">
      <c r="E41" s="27" t="s">
        <v>616</v>
      </c>
      <c r="F41" s="27"/>
      <c r="H41" s="117"/>
      <c r="I41" s="3"/>
      <c r="J41" s="53"/>
      <c r="K41" s="53"/>
      <c r="L41" s="53"/>
      <c r="M41" s="53"/>
      <c r="N41" s="53"/>
      <c r="O41" s="53"/>
      <c r="P41" s="3"/>
    </row>
    <row r="42" spans="5:16" x14ac:dyDescent="0.35">
      <c r="E42" s="24" t="s">
        <v>617</v>
      </c>
      <c r="F42" s="24"/>
      <c r="H42" s="117"/>
      <c r="I42" s="3"/>
      <c r="J42" s="53"/>
      <c r="K42" s="53"/>
      <c r="L42" s="53"/>
      <c r="M42" s="53"/>
      <c r="N42" s="53"/>
      <c r="O42" s="53"/>
      <c r="P42" s="3"/>
    </row>
    <row r="43" spans="5:16" x14ac:dyDescent="0.35">
      <c r="F43" s="19" t="s">
        <v>189</v>
      </c>
      <c r="G43" s="19" t="s">
        <v>283</v>
      </c>
      <c r="H43" s="114">
        <f t="array" ref="H43:H52">TRANSPOSE('Load &amp; loss characteristics'!J29:S29)</f>
        <v>1</v>
      </c>
      <c r="I43" s="3"/>
      <c r="J43" s="53"/>
      <c r="K43" s="53"/>
      <c r="L43" s="53"/>
      <c r="M43" s="53"/>
      <c r="N43" s="53"/>
      <c r="O43" s="53"/>
    </row>
    <row r="44" spans="5:16" x14ac:dyDescent="0.35">
      <c r="F44" t="s">
        <v>191</v>
      </c>
      <c r="G44" t="s">
        <v>283</v>
      </c>
      <c r="H44" s="110">
        <v>1</v>
      </c>
      <c r="I44" s="3"/>
      <c r="J44" s="53"/>
      <c r="K44" s="53"/>
      <c r="L44" s="53"/>
      <c r="M44" s="53"/>
      <c r="N44" s="53"/>
      <c r="O44" s="53"/>
    </row>
    <row r="45" spans="5:16" x14ac:dyDescent="0.35">
      <c r="F45" t="s">
        <v>192</v>
      </c>
      <c r="G45" t="s">
        <v>283</v>
      </c>
      <c r="H45" s="110">
        <v>1.004</v>
      </c>
      <c r="I45" s="3"/>
      <c r="J45" s="53"/>
      <c r="K45" s="53"/>
      <c r="L45" s="53"/>
      <c r="M45" s="53"/>
      <c r="N45" s="53"/>
      <c r="O45" s="53"/>
    </row>
    <row r="46" spans="5:16" x14ac:dyDescent="0.35">
      <c r="F46" t="s">
        <v>193</v>
      </c>
      <c r="G46" t="s">
        <v>283</v>
      </c>
      <c r="H46" s="110">
        <v>1.008</v>
      </c>
      <c r="J46" s="53"/>
      <c r="K46" s="53"/>
      <c r="L46" s="53"/>
      <c r="M46" s="53"/>
      <c r="N46" s="53"/>
      <c r="O46" s="53"/>
    </row>
    <row r="47" spans="5:16" x14ac:dyDescent="0.35">
      <c r="F47" t="s">
        <v>194</v>
      </c>
      <c r="G47" t="s">
        <v>283</v>
      </c>
      <c r="H47" s="110">
        <v>1.0129999999999999</v>
      </c>
      <c r="I47" s="3"/>
      <c r="J47" s="53"/>
      <c r="K47" s="53"/>
      <c r="L47" s="53"/>
      <c r="M47" s="53"/>
      <c r="N47" s="53"/>
      <c r="O47" s="53"/>
    </row>
    <row r="48" spans="5:16" x14ac:dyDescent="0.35">
      <c r="F48" t="s">
        <v>195</v>
      </c>
      <c r="G48" t="s">
        <v>283</v>
      </c>
      <c r="H48" s="110">
        <v>1.018</v>
      </c>
      <c r="I48" s="3"/>
      <c r="J48" s="53"/>
      <c r="K48" s="53"/>
      <c r="L48" s="53"/>
      <c r="M48" s="53"/>
      <c r="N48" s="53"/>
      <c r="O48" s="53"/>
    </row>
    <row r="49" spans="4:25" x14ac:dyDescent="0.35">
      <c r="F49" t="s">
        <v>196</v>
      </c>
      <c r="G49" t="s">
        <v>283</v>
      </c>
      <c r="H49" s="110">
        <v>1.018</v>
      </c>
      <c r="I49" s="3"/>
      <c r="J49" s="53"/>
      <c r="K49" s="53"/>
      <c r="L49" s="53"/>
      <c r="M49" s="53"/>
      <c r="N49" s="53"/>
      <c r="O49" s="53"/>
    </row>
    <row r="50" spans="4:25" x14ac:dyDescent="0.35">
      <c r="F50" t="s">
        <v>197</v>
      </c>
      <c r="G50" t="s">
        <v>283</v>
      </c>
      <c r="H50" s="110">
        <v>1.0269999999999999</v>
      </c>
      <c r="J50" s="53"/>
      <c r="K50" s="53"/>
      <c r="L50" s="53"/>
      <c r="M50" s="53"/>
      <c r="N50" s="53"/>
      <c r="O50" s="53"/>
    </row>
    <row r="51" spans="4:25" x14ac:dyDescent="0.35">
      <c r="F51" t="s">
        <v>198</v>
      </c>
      <c r="G51" t="s">
        <v>283</v>
      </c>
      <c r="H51" s="110">
        <v>1.0429999999999999</v>
      </c>
      <c r="I51" s="3"/>
      <c r="J51" s="53"/>
      <c r="K51" s="53"/>
      <c r="L51" s="53"/>
      <c r="M51" s="53"/>
      <c r="N51" s="53"/>
      <c r="O51" s="53"/>
    </row>
    <row r="52" spans="4:25" x14ac:dyDescent="0.35">
      <c r="F52" s="28" t="s">
        <v>199</v>
      </c>
      <c r="G52" s="28" t="s">
        <v>283</v>
      </c>
      <c r="H52" s="115">
        <v>1.0900000000000001</v>
      </c>
      <c r="I52" s="3"/>
      <c r="J52" s="53"/>
      <c r="K52" s="53"/>
      <c r="L52" s="53"/>
      <c r="M52" s="53"/>
      <c r="N52" s="53"/>
      <c r="O52" s="53"/>
    </row>
    <row r="53" spans="4:25" x14ac:dyDescent="0.35">
      <c r="G53" s="23"/>
      <c r="H53" s="3"/>
      <c r="I53" s="3"/>
      <c r="J53" s="53"/>
      <c r="K53" s="53"/>
      <c r="L53" s="53"/>
      <c r="M53" s="53"/>
      <c r="N53" s="53"/>
      <c r="O53" s="53"/>
    </row>
    <row r="54" spans="4:25" x14ac:dyDescent="0.35">
      <c r="E54" s="27" t="s">
        <v>407</v>
      </c>
      <c r="F54" s="27"/>
      <c r="J54" s="53"/>
      <c r="L54" s="53"/>
    </row>
    <row r="55" spans="4:25" x14ac:dyDescent="0.35">
      <c r="D55" s="27"/>
      <c r="E55" s="27"/>
      <c r="F55" s="180" t="s">
        <v>189</v>
      </c>
      <c r="G55" s="19" t="s">
        <v>283</v>
      </c>
      <c r="H55" s="19"/>
      <c r="I55" s="19"/>
      <c r="J55" s="183">
        <f t="array" ref="J55:Y64">TRANSPOSE('Load &amp; loss characteristics'!J145:S160)</f>
        <v>1.0900000000000001</v>
      </c>
      <c r="K55" s="183">
        <v>1.0900000000000001</v>
      </c>
      <c r="L55" s="183">
        <v>1.0900000000000001</v>
      </c>
      <c r="M55" s="183">
        <v>1.0900000000000001</v>
      </c>
      <c r="N55" s="183">
        <v>1.0900000000000001</v>
      </c>
      <c r="O55" s="183">
        <v>1.0429999999999999</v>
      </c>
      <c r="P55" s="183">
        <v>1.0269999999999999</v>
      </c>
      <c r="Q55" s="183">
        <v>1.0900000000000001</v>
      </c>
      <c r="R55" s="183">
        <v>-1.0900000000000001</v>
      </c>
      <c r="S55" s="183">
        <v>-1.0429999999999999</v>
      </c>
      <c r="T55" s="183">
        <v>-1.0900000000000001</v>
      </c>
      <c r="U55" s="183">
        <v>-1.0900000000000001</v>
      </c>
      <c r="V55" s="183">
        <v>-1.0429999999999999</v>
      </c>
      <c r="W55" s="183">
        <v>-1.0429999999999999</v>
      </c>
      <c r="X55" s="183">
        <v>-1.0269999999999999</v>
      </c>
      <c r="Y55" s="183">
        <v>-1.0269999999999999</v>
      </c>
    </row>
    <row r="56" spans="4:25" x14ac:dyDescent="0.35">
      <c r="D56" s="27"/>
      <c r="E56" s="27"/>
      <c r="F56" s="181" t="s">
        <v>191</v>
      </c>
      <c r="G56" t="s">
        <v>283</v>
      </c>
      <c r="J56" s="184">
        <v>1.0900000000000001</v>
      </c>
      <c r="K56" s="184">
        <v>1.0900000000000001</v>
      </c>
      <c r="L56" s="184">
        <v>1.0900000000000001</v>
      </c>
      <c r="M56" s="184">
        <v>1.0900000000000001</v>
      </c>
      <c r="N56" s="184">
        <v>1.0900000000000001</v>
      </c>
      <c r="O56" s="184">
        <v>1.0429999999999999</v>
      </c>
      <c r="P56" s="184">
        <v>1.0269999999999999</v>
      </c>
      <c r="Q56" s="184">
        <v>1.0900000000000001</v>
      </c>
      <c r="R56" s="184">
        <v>-1.0900000000000001</v>
      </c>
      <c r="S56" s="184">
        <v>-1.0429999999999999</v>
      </c>
      <c r="T56" s="184">
        <v>-1.0900000000000001</v>
      </c>
      <c r="U56" s="184">
        <v>-1.0900000000000001</v>
      </c>
      <c r="V56" s="184">
        <v>-1.0429999999999999</v>
      </c>
      <c r="W56" s="184">
        <v>-1.0429999999999999</v>
      </c>
      <c r="X56" s="184">
        <v>-1.0269999999999999</v>
      </c>
      <c r="Y56" s="184">
        <v>-1.0269999999999999</v>
      </c>
    </row>
    <row r="57" spans="4:25" x14ac:dyDescent="0.35">
      <c r="D57" s="27"/>
      <c r="E57" s="27"/>
      <c r="F57" s="181" t="s">
        <v>192</v>
      </c>
      <c r="G57" t="s">
        <v>283</v>
      </c>
      <c r="J57" s="184">
        <v>1.0900000000000001</v>
      </c>
      <c r="K57" s="184">
        <v>1.0900000000000001</v>
      </c>
      <c r="L57" s="184">
        <v>1.0900000000000001</v>
      </c>
      <c r="M57" s="184">
        <v>1.0900000000000001</v>
      </c>
      <c r="N57" s="184">
        <v>1.0900000000000001</v>
      </c>
      <c r="O57" s="184">
        <v>1.0429999999999999</v>
      </c>
      <c r="P57" s="184">
        <v>1.0269999999999999</v>
      </c>
      <c r="Q57" s="184">
        <v>1.0900000000000001</v>
      </c>
      <c r="R57" s="184">
        <v>-1.0900000000000001</v>
      </c>
      <c r="S57" s="184">
        <v>-1.0429999999999999</v>
      </c>
      <c r="T57" s="184">
        <v>-1.0900000000000001</v>
      </c>
      <c r="U57" s="184">
        <v>-1.0900000000000001</v>
      </c>
      <c r="V57" s="184">
        <v>-1.0429999999999999</v>
      </c>
      <c r="W57" s="184">
        <v>-1.0429999999999999</v>
      </c>
      <c r="X57" s="184">
        <v>-1.0269999999999999</v>
      </c>
      <c r="Y57" s="184">
        <v>-1.0269999999999999</v>
      </c>
    </row>
    <row r="58" spans="4:25" x14ac:dyDescent="0.35">
      <c r="D58" s="27"/>
      <c r="E58" s="27"/>
      <c r="F58" s="181" t="s">
        <v>193</v>
      </c>
      <c r="G58" t="s">
        <v>283</v>
      </c>
      <c r="J58" s="184">
        <v>1.0900000000000001</v>
      </c>
      <c r="K58" s="184">
        <v>1.0900000000000001</v>
      </c>
      <c r="L58" s="184">
        <v>1.0900000000000001</v>
      </c>
      <c r="M58" s="184">
        <v>1.0900000000000001</v>
      </c>
      <c r="N58" s="184">
        <v>1.0900000000000001</v>
      </c>
      <c r="O58" s="184">
        <v>1.0429999999999999</v>
      </c>
      <c r="P58" s="184">
        <v>1.0269999999999999</v>
      </c>
      <c r="Q58" s="184">
        <v>1.0900000000000001</v>
      </c>
      <c r="R58" s="184">
        <v>-1.0900000000000001</v>
      </c>
      <c r="S58" s="184">
        <v>-1.0429999999999999</v>
      </c>
      <c r="T58" s="184">
        <v>-1.0900000000000001</v>
      </c>
      <c r="U58" s="184">
        <v>-1.0900000000000001</v>
      </c>
      <c r="V58" s="184">
        <v>-1.0429999999999999</v>
      </c>
      <c r="W58" s="184">
        <v>-1.0429999999999999</v>
      </c>
      <c r="X58" s="184">
        <v>-1.0269999999999999</v>
      </c>
      <c r="Y58" s="184">
        <v>-1.0269999999999999</v>
      </c>
    </row>
    <row r="59" spans="4:25" x14ac:dyDescent="0.35">
      <c r="D59" s="27"/>
      <c r="E59" s="27"/>
      <c r="F59" s="181" t="s">
        <v>194</v>
      </c>
      <c r="G59" t="s">
        <v>283</v>
      </c>
      <c r="J59" s="184">
        <v>1.0900000000000001</v>
      </c>
      <c r="K59" s="184">
        <v>1.0900000000000001</v>
      </c>
      <c r="L59" s="184">
        <v>1.0900000000000001</v>
      </c>
      <c r="M59" s="184">
        <v>1.0900000000000001</v>
      </c>
      <c r="N59" s="184">
        <v>1.0900000000000001</v>
      </c>
      <c r="O59" s="184">
        <v>1.0429999999999999</v>
      </c>
      <c r="P59" s="184">
        <v>1.0269999999999999</v>
      </c>
      <c r="Q59" s="184">
        <v>1.0900000000000001</v>
      </c>
      <c r="R59" s="184">
        <v>-1.0900000000000001</v>
      </c>
      <c r="S59" s="184">
        <v>-1.0429999999999999</v>
      </c>
      <c r="T59" s="184">
        <v>-1.0900000000000001</v>
      </c>
      <c r="U59" s="184">
        <v>-1.0900000000000001</v>
      </c>
      <c r="V59" s="184">
        <v>-1.0429999999999999</v>
      </c>
      <c r="W59" s="184">
        <v>-1.0429999999999999</v>
      </c>
      <c r="X59" s="184">
        <v>-1.0269999999999999</v>
      </c>
      <c r="Y59" s="184">
        <v>-1.0269999999999999</v>
      </c>
    </row>
    <row r="60" spans="4:25" x14ac:dyDescent="0.35">
      <c r="D60" s="27"/>
      <c r="E60" s="27"/>
      <c r="F60" s="181" t="s">
        <v>195</v>
      </c>
      <c r="G60" t="s">
        <v>283</v>
      </c>
      <c r="J60" s="184">
        <v>1.0900000000000001</v>
      </c>
      <c r="K60" s="184">
        <v>1.0900000000000001</v>
      </c>
      <c r="L60" s="184">
        <v>1.0900000000000001</v>
      </c>
      <c r="M60" s="184">
        <v>1.0900000000000001</v>
      </c>
      <c r="N60" s="184">
        <v>1.0900000000000001</v>
      </c>
      <c r="O60" s="184">
        <v>1.0429999999999999</v>
      </c>
      <c r="P60" s="184">
        <v>1.0269999999999999</v>
      </c>
      <c r="Q60" s="184">
        <v>1.0900000000000001</v>
      </c>
      <c r="R60" s="184">
        <v>-1.0900000000000001</v>
      </c>
      <c r="S60" s="184">
        <v>-1.0429999999999999</v>
      </c>
      <c r="T60" s="184">
        <v>-1.0900000000000001</v>
      </c>
      <c r="U60" s="184">
        <v>-1.0900000000000001</v>
      </c>
      <c r="V60" s="184">
        <v>-1.0429999999999999</v>
      </c>
      <c r="W60" s="184">
        <v>-1.0429999999999999</v>
      </c>
      <c r="X60" s="184">
        <v>-1.0269999999999999</v>
      </c>
      <c r="Y60" s="184">
        <v>-1.0269999999999999</v>
      </c>
    </row>
    <row r="61" spans="4:25" x14ac:dyDescent="0.35">
      <c r="D61" s="27"/>
      <c r="E61" s="27"/>
      <c r="F61" s="181" t="s">
        <v>196</v>
      </c>
      <c r="G61" t="s">
        <v>283</v>
      </c>
      <c r="J61" s="184">
        <v>0</v>
      </c>
      <c r="K61" s="184">
        <v>0</v>
      </c>
      <c r="L61" s="184">
        <v>0</v>
      </c>
      <c r="M61" s="184">
        <v>0</v>
      </c>
      <c r="N61" s="184">
        <v>0</v>
      </c>
      <c r="O61" s="184">
        <v>0</v>
      </c>
      <c r="P61" s="184">
        <v>0</v>
      </c>
      <c r="Q61" s="184">
        <v>0</v>
      </c>
      <c r="R61" s="184">
        <v>0</v>
      </c>
      <c r="S61" s="184">
        <v>0</v>
      </c>
      <c r="T61" s="184">
        <v>0</v>
      </c>
      <c r="U61" s="184">
        <v>0</v>
      </c>
      <c r="V61" s="184">
        <v>0</v>
      </c>
      <c r="W61" s="184">
        <v>0</v>
      </c>
      <c r="X61" s="184">
        <v>0</v>
      </c>
      <c r="Y61" s="184">
        <v>0</v>
      </c>
    </row>
    <row r="62" spans="4:25" x14ac:dyDescent="0.35">
      <c r="D62" s="27"/>
      <c r="E62" s="27"/>
      <c r="F62" s="181" t="s">
        <v>197</v>
      </c>
      <c r="G62" t="s">
        <v>283</v>
      </c>
      <c r="J62" s="184">
        <v>1.0900000000000001</v>
      </c>
      <c r="K62" s="184">
        <v>1.0900000000000001</v>
      </c>
      <c r="L62" s="184">
        <v>1.0900000000000001</v>
      </c>
      <c r="M62" s="184">
        <v>1.0900000000000001</v>
      </c>
      <c r="N62" s="184">
        <v>1.0900000000000001</v>
      </c>
      <c r="O62" s="184">
        <v>1.0429999999999999</v>
      </c>
      <c r="P62" s="184">
        <v>1.0269999999999999</v>
      </c>
      <c r="Q62" s="184">
        <v>1.0900000000000001</v>
      </c>
      <c r="R62" s="184">
        <v>-1.0900000000000001</v>
      </c>
      <c r="S62" s="184">
        <v>-1.0429999999999999</v>
      </c>
      <c r="T62" s="184">
        <v>-1.0900000000000001</v>
      </c>
      <c r="U62" s="184">
        <v>-1.0900000000000001</v>
      </c>
      <c r="V62" s="184">
        <v>-1.0429999999999999</v>
      </c>
      <c r="W62" s="184">
        <v>-1.0429999999999999</v>
      </c>
      <c r="X62" s="184">
        <v>0</v>
      </c>
      <c r="Y62" s="184">
        <v>0</v>
      </c>
    </row>
    <row r="63" spans="4:25" x14ac:dyDescent="0.35">
      <c r="D63" s="27"/>
      <c r="E63" s="27"/>
      <c r="F63" s="181" t="s">
        <v>198</v>
      </c>
      <c r="G63" t="s">
        <v>283</v>
      </c>
      <c r="J63" s="184">
        <v>1.0900000000000001</v>
      </c>
      <c r="K63" s="184">
        <v>1.0900000000000001</v>
      </c>
      <c r="L63" s="184">
        <v>1.0900000000000001</v>
      </c>
      <c r="M63" s="184">
        <v>1.0900000000000001</v>
      </c>
      <c r="N63" s="184">
        <v>1.0900000000000001</v>
      </c>
      <c r="O63" s="184">
        <v>1.0429999999999999</v>
      </c>
      <c r="P63" s="184">
        <v>0</v>
      </c>
      <c r="Q63" s="184">
        <v>1.0900000000000001</v>
      </c>
      <c r="R63" s="184">
        <v>-1.0900000000000001</v>
      </c>
      <c r="S63" s="184">
        <v>0</v>
      </c>
      <c r="T63" s="184">
        <v>-1.0900000000000001</v>
      </c>
      <c r="U63" s="184">
        <v>-1.0900000000000001</v>
      </c>
      <c r="V63" s="184">
        <v>0</v>
      </c>
      <c r="W63" s="184">
        <v>0</v>
      </c>
      <c r="X63" s="184">
        <v>0</v>
      </c>
      <c r="Y63" s="184">
        <v>0</v>
      </c>
    </row>
    <row r="64" spans="4:25" x14ac:dyDescent="0.35">
      <c r="D64" s="27"/>
      <c r="E64" s="27"/>
      <c r="F64" s="182" t="s">
        <v>199</v>
      </c>
      <c r="G64" s="28" t="s">
        <v>283</v>
      </c>
      <c r="H64" s="28"/>
      <c r="I64" s="28"/>
      <c r="J64" s="185">
        <v>1.0900000000000001</v>
      </c>
      <c r="K64" s="185">
        <v>1.0900000000000001</v>
      </c>
      <c r="L64" s="185">
        <v>1.0900000000000001</v>
      </c>
      <c r="M64" s="185">
        <v>1.0900000000000001</v>
      </c>
      <c r="N64" s="185">
        <v>1.0900000000000001</v>
      </c>
      <c r="O64" s="185">
        <v>0</v>
      </c>
      <c r="P64" s="185">
        <v>0</v>
      </c>
      <c r="Q64" s="185">
        <v>1.0900000000000001</v>
      </c>
      <c r="R64" s="185">
        <v>0</v>
      </c>
      <c r="S64" s="185">
        <v>0</v>
      </c>
      <c r="T64" s="185">
        <v>0</v>
      </c>
      <c r="U64" s="185">
        <v>0</v>
      </c>
      <c r="V64" s="185">
        <v>0</v>
      </c>
      <c r="W64" s="185">
        <v>0</v>
      </c>
      <c r="X64" s="185">
        <v>0</v>
      </c>
      <c r="Y64" s="185">
        <v>0</v>
      </c>
    </row>
    <row r="65" spans="3:25" x14ac:dyDescent="0.35">
      <c r="D65" s="27"/>
      <c r="E65" s="27"/>
      <c r="J65" s="153"/>
      <c r="K65" s="153"/>
      <c r="L65" s="153"/>
      <c r="M65" s="153"/>
      <c r="N65" s="153"/>
      <c r="O65" s="153"/>
      <c r="P65" s="153"/>
      <c r="Q65" s="153"/>
      <c r="R65" s="153"/>
      <c r="S65" s="153"/>
      <c r="T65" s="153"/>
      <c r="U65" s="153"/>
      <c r="V65" s="153"/>
      <c r="W65" s="153"/>
      <c r="X65" s="153"/>
      <c r="Y65" s="153"/>
    </row>
    <row r="66" spans="3:25" x14ac:dyDescent="0.35">
      <c r="E66" s="27" t="s">
        <v>415</v>
      </c>
      <c r="J66" s="153"/>
      <c r="K66" s="153"/>
      <c r="L66" s="153"/>
      <c r="M66" s="153"/>
      <c r="N66" s="153"/>
      <c r="O66" s="153"/>
      <c r="P66" s="153"/>
      <c r="Q66" s="153"/>
      <c r="R66" s="153"/>
      <c r="S66" s="153"/>
      <c r="T66" s="153"/>
      <c r="U66" s="153"/>
      <c r="V66" s="153"/>
      <c r="W66" s="153"/>
      <c r="X66" s="153"/>
      <c r="Y66" s="153"/>
    </row>
    <row r="67" spans="3:25" x14ac:dyDescent="0.35">
      <c r="D67" s="27"/>
      <c r="E67" s="27"/>
      <c r="F67" s="180" t="s">
        <v>189</v>
      </c>
      <c r="G67" s="54" t="s">
        <v>167</v>
      </c>
      <c r="H67" s="19"/>
      <c r="I67" s="19"/>
      <c r="J67" s="186"/>
      <c r="K67" s="186"/>
      <c r="L67" s="186"/>
      <c r="M67" s="186"/>
      <c r="N67" s="186"/>
      <c r="O67" s="186"/>
      <c r="P67" s="186"/>
      <c r="Q67" s="186"/>
      <c r="R67" s="186"/>
      <c r="S67" s="186"/>
      <c r="T67" s="186"/>
      <c r="U67" s="186"/>
      <c r="V67" s="186"/>
      <c r="W67" s="186"/>
      <c r="X67" s="186"/>
      <c r="Y67" s="186"/>
    </row>
    <row r="68" spans="3:25" x14ac:dyDescent="0.35">
      <c r="D68" s="27"/>
      <c r="E68" s="27"/>
      <c r="F68" s="181" t="s">
        <v>191</v>
      </c>
      <c r="G68" s="23" t="s">
        <v>167</v>
      </c>
      <c r="J68" s="187"/>
      <c r="K68" s="187"/>
      <c r="L68" s="187"/>
      <c r="M68" s="187"/>
      <c r="N68" s="187"/>
      <c r="O68" s="187"/>
      <c r="P68" s="187"/>
      <c r="Q68" s="187"/>
      <c r="R68" s="187"/>
      <c r="S68" s="187"/>
      <c r="T68" s="187"/>
      <c r="U68" s="187"/>
      <c r="V68" s="187"/>
      <c r="W68" s="187"/>
      <c r="X68" s="187"/>
      <c r="Y68" s="187"/>
    </row>
    <row r="69" spans="3:25" x14ac:dyDescent="0.35">
      <c r="D69" s="27"/>
      <c r="E69" s="27"/>
      <c r="F69" s="181" t="s">
        <v>192</v>
      </c>
      <c r="G69" s="23" t="s">
        <v>167</v>
      </c>
      <c r="J69" s="184">
        <f t="array" ref="J69:Y76">TRANSPOSE('Customer contributions'!L51:S66)</f>
        <v>0</v>
      </c>
      <c r="K69" s="184">
        <v>0</v>
      </c>
      <c r="L69" s="184">
        <v>0</v>
      </c>
      <c r="M69" s="184">
        <v>0</v>
      </c>
      <c r="N69" s="184">
        <v>0</v>
      </c>
      <c r="O69" s="184">
        <v>0</v>
      </c>
      <c r="P69" s="184">
        <v>0</v>
      </c>
      <c r="Q69" s="184">
        <v>0</v>
      </c>
      <c r="R69" s="184">
        <v>0</v>
      </c>
      <c r="S69" s="184">
        <v>0</v>
      </c>
      <c r="T69" s="184">
        <v>0</v>
      </c>
      <c r="U69" s="184">
        <v>0</v>
      </c>
      <c r="V69" s="184">
        <v>0</v>
      </c>
      <c r="W69" s="184">
        <v>0</v>
      </c>
      <c r="X69" s="184">
        <v>0</v>
      </c>
      <c r="Y69" s="184">
        <v>0</v>
      </c>
    </row>
    <row r="70" spans="3:25" x14ac:dyDescent="0.35">
      <c r="D70" s="27"/>
      <c r="E70" s="27"/>
      <c r="F70" s="181" t="s">
        <v>193</v>
      </c>
      <c r="G70" s="23" t="s">
        <v>167</v>
      </c>
      <c r="J70" s="184">
        <v>0</v>
      </c>
      <c r="K70" s="184">
        <v>0</v>
      </c>
      <c r="L70" s="184">
        <v>0</v>
      </c>
      <c r="M70" s="184">
        <v>0</v>
      </c>
      <c r="N70" s="184">
        <v>0</v>
      </c>
      <c r="O70" s="184">
        <v>0</v>
      </c>
      <c r="P70" s="184">
        <v>0</v>
      </c>
      <c r="Q70" s="184">
        <v>0</v>
      </c>
      <c r="R70" s="184">
        <v>0</v>
      </c>
      <c r="S70" s="184">
        <v>0</v>
      </c>
      <c r="T70" s="184">
        <v>0</v>
      </c>
      <c r="U70" s="184">
        <v>0</v>
      </c>
      <c r="V70" s="184">
        <v>0</v>
      </c>
      <c r="W70" s="184">
        <v>0</v>
      </c>
      <c r="X70" s="184">
        <v>0</v>
      </c>
      <c r="Y70" s="184">
        <v>0</v>
      </c>
    </row>
    <row r="71" spans="3:25" x14ac:dyDescent="0.35">
      <c r="D71" s="27"/>
      <c r="E71" s="27"/>
      <c r="F71" s="181" t="s">
        <v>194</v>
      </c>
      <c r="G71" s="23" t="s">
        <v>167</v>
      </c>
      <c r="J71" s="184">
        <v>1.2370413198693E-2</v>
      </c>
      <c r="K71" s="184">
        <v>1.2370413198693E-2</v>
      </c>
      <c r="L71" s="184">
        <v>1.2370413198693E-2</v>
      </c>
      <c r="M71" s="184">
        <v>1.2370413198693E-2</v>
      </c>
      <c r="N71" s="184">
        <v>1.2370413198693E-2</v>
      </c>
      <c r="O71" s="184">
        <v>1.2370413198693E-2</v>
      </c>
      <c r="P71" s="184">
        <v>3.4530744799792602E-2</v>
      </c>
      <c r="Q71" s="184">
        <v>1.2370413198693E-2</v>
      </c>
      <c r="R71" s="184">
        <v>1.2370413198693E-2</v>
      </c>
      <c r="S71" s="184">
        <v>1.2370413198693E-2</v>
      </c>
      <c r="T71" s="184">
        <v>1.2370413198693E-2</v>
      </c>
      <c r="U71" s="184">
        <v>1.2370413198693E-2</v>
      </c>
      <c r="V71" s="184">
        <v>1.2370413198693E-2</v>
      </c>
      <c r="W71" s="184">
        <v>1.2370413198693E-2</v>
      </c>
      <c r="X71" s="184">
        <v>3.4530744799792602E-2</v>
      </c>
      <c r="Y71" s="184">
        <v>3.4530744799792602E-2</v>
      </c>
    </row>
    <row r="72" spans="3:25" x14ac:dyDescent="0.35">
      <c r="D72" s="27"/>
      <c r="E72" s="27"/>
      <c r="F72" s="181" t="s">
        <v>195</v>
      </c>
      <c r="G72" s="23" t="s">
        <v>167</v>
      </c>
      <c r="J72" s="184">
        <v>2.4400925983857801E-2</v>
      </c>
      <c r="K72" s="184">
        <v>2.4400925983857801E-2</v>
      </c>
      <c r="L72" s="184">
        <v>2.4400925983857801E-2</v>
      </c>
      <c r="M72" s="184">
        <v>2.4400925983857801E-2</v>
      </c>
      <c r="N72" s="184">
        <v>2.4400925983857801E-2</v>
      </c>
      <c r="O72" s="184">
        <v>2.4400925983857801E-2</v>
      </c>
      <c r="P72" s="184">
        <v>6.6381013698021907E-2</v>
      </c>
      <c r="Q72" s="184">
        <v>2.4400925983857801E-2</v>
      </c>
      <c r="R72" s="184">
        <v>2.4400925983857801E-2</v>
      </c>
      <c r="S72" s="184">
        <v>2.4400925983857801E-2</v>
      </c>
      <c r="T72" s="184">
        <v>2.4400925983857801E-2</v>
      </c>
      <c r="U72" s="184">
        <v>2.4400925983857801E-2</v>
      </c>
      <c r="V72" s="184">
        <v>2.4400925983857801E-2</v>
      </c>
      <c r="W72" s="184">
        <v>2.4400925983857801E-2</v>
      </c>
      <c r="X72" s="184">
        <v>6.6381013698021907E-2</v>
      </c>
      <c r="Y72" s="184">
        <v>6.6381013698021907E-2</v>
      </c>
    </row>
    <row r="73" spans="3:25" x14ac:dyDescent="0.35">
      <c r="D73" s="27"/>
      <c r="E73" s="27"/>
      <c r="F73" s="181" t="s">
        <v>196</v>
      </c>
      <c r="G73" s="23" t="s">
        <v>167</v>
      </c>
      <c r="J73" s="184">
        <v>0</v>
      </c>
      <c r="K73" s="184">
        <v>0</v>
      </c>
      <c r="L73" s="184">
        <v>0</v>
      </c>
      <c r="M73" s="184">
        <v>0</v>
      </c>
      <c r="N73" s="184">
        <v>0</v>
      </c>
      <c r="O73" s="184">
        <v>0</v>
      </c>
      <c r="P73" s="184">
        <v>0</v>
      </c>
      <c r="Q73" s="184">
        <v>0</v>
      </c>
      <c r="R73" s="184">
        <v>0</v>
      </c>
      <c r="S73" s="184">
        <v>0</v>
      </c>
      <c r="T73" s="184">
        <v>0</v>
      </c>
      <c r="U73" s="184">
        <v>0</v>
      </c>
      <c r="V73" s="184">
        <v>0</v>
      </c>
      <c r="W73" s="184">
        <v>0</v>
      </c>
      <c r="X73" s="184">
        <v>0</v>
      </c>
      <c r="Y73" s="184">
        <v>0</v>
      </c>
    </row>
    <row r="74" spans="3:25" x14ac:dyDescent="0.35">
      <c r="D74" s="27"/>
      <c r="E74" s="27"/>
      <c r="F74" s="181" t="s">
        <v>197</v>
      </c>
      <c r="G74" s="23" t="s">
        <v>167</v>
      </c>
      <c r="J74" s="184">
        <v>0.34379931777325301</v>
      </c>
      <c r="K74" s="184">
        <v>0.34379931777325301</v>
      </c>
      <c r="L74" s="184">
        <v>0.34379931777325301</v>
      </c>
      <c r="M74" s="184">
        <v>0.34379931777325301</v>
      </c>
      <c r="N74" s="184">
        <v>0.34379931777325301</v>
      </c>
      <c r="O74" s="184">
        <v>0.34379931777325301</v>
      </c>
      <c r="P74" s="184">
        <v>0.38323267678152101</v>
      </c>
      <c r="Q74" s="184">
        <v>0.34379931777325301</v>
      </c>
      <c r="R74" s="184">
        <v>0.34379931777325301</v>
      </c>
      <c r="S74" s="184">
        <v>0.34379931777325301</v>
      </c>
      <c r="T74" s="184">
        <v>0.34379931777325301</v>
      </c>
      <c r="U74" s="184">
        <v>0.34379931777325301</v>
      </c>
      <c r="V74" s="184">
        <v>0.34379931777325301</v>
      </c>
      <c r="W74" s="184">
        <v>0.34379931777325301</v>
      </c>
      <c r="X74" s="184">
        <v>0.38323267678152101</v>
      </c>
      <c r="Y74" s="184">
        <v>0.38323267678152101</v>
      </c>
    </row>
    <row r="75" spans="3:25" x14ac:dyDescent="0.35">
      <c r="D75" s="27"/>
      <c r="E75" s="27"/>
      <c r="F75" s="181" t="s">
        <v>198</v>
      </c>
      <c r="G75" s="23" t="s">
        <v>167</v>
      </c>
      <c r="J75" s="184">
        <v>0.42351973684210498</v>
      </c>
      <c r="K75" s="184">
        <v>0.42351973684210498</v>
      </c>
      <c r="L75" s="184">
        <v>0.42351973684210498</v>
      </c>
      <c r="M75" s="184">
        <v>0.42351973684210498</v>
      </c>
      <c r="N75" s="184">
        <v>0.42351973684210498</v>
      </c>
      <c r="O75" s="184">
        <v>0.42351973684210498</v>
      </c>
      <c r="P75" s="184">
        <v>0</v>
      </c>
      <c r="Q75" s="184">
        <v>0.42351973684210498</v>
      </c>
      <c r="R75" s="184">
        <v>0.42351973684210498</v>
      </c>
      <c r="S75" s="184">
        <v>0.42351973684210498</v>
      </c>
      <c r="T75" s="184">
        <v>0.42351973684210498</v>
      </c>
      <c r="U75" s="184">
        <v>0.42351973684210498</v>
      </c>
      <c r="V75" s="184">
        <v>0.42351973684210498</v>
      </c>
      <c r="W75" s="184">
        <v>0.42351973684210498</v>
      </c>
      <c r="X75" s="184">
        <v>0</v>
      </c>
      <c r="Y75" s="184">
        <v>0</v>
      </c>
    </row>
    <row r="76" spans="3:25" x14ac:dyDescent="0.35">
      <c r="D76" s="27"/>
      <c r="E76" s="27"/>
      <c r="F76" s="182" t="s">
        <v>199</v>
      </c>
      <c r="G76" s="57" t="s">
        <v>167</v>
      </c>
      <c r="H76" s="28"/>
      <c r="I76" s="28"/>
      <c r="J76" s="185">
        <v>0.95595667870036105</v>
      </c>
      <c r="K76" s="185">
        <v>0.95595667870036105</v>
      </c>
      <c r="L76" s="185">
        <v>0.95595667870036105</v>
      </c>
      <c r="M76" s="185">
        <v>0.95595667870036105</v>
      </c>
      <c r="N76" s="185">
        <v>0.95595667870036105</v>
      </c>
      <c r="O76" s="185">
        <v>0</v>
      </c>
      <c r="P76" s="185">
        <v>0</v>
      </c>
      <c r="Q76" s="185">
        <v>0.95595667870036105</v>
      </c>
      <c r="R76" s="185">
        <v>0.95595667870036105</v>
      </c>
      <c r="S76" s="185">
        <v>0</v>
      </c>
      <c r="T76" s="185">
        <v>0.95595667870036105</v>
      </c>
      <c r="U76" s="185">
        <v>0.95595667870036105</v>
      </c>
      <c r="V76" s="185">
        <v>0</v>
      </c>
      <c r="W76" s="185">
        <v>0</v>
      </c>
      <c r="X76" s="185">
        <v>0</v>
      </c>
      <c r="Y76" s="185">
        <v>0</v>
      </c>
    </row>
    <row r="77" spans="3:25" x14ac:dyDescent="0.35">
      <c r="C77" s="27"/>
      <c r="D77" s="27"/>
      <c r="J77" s="153"/>
      <c r="K77" s="153"/>
      <c r="L77" s="153"/>
      <c r="M77" s="153"/>
      <c r="N77" s="153"/>
      <c r="O77" s="153"/>
      <c r="P77" s="153"/>
      <c r="Q77" s="153"/>
      <c r="R77" s="153"/>
      <c r="S77" s="153"/>
      <c r="T77" s="153"/>
      <c r="U77" s="153"/>
      <c r="V77" s="153"/>
      <c r="W77" s="153"/>
      <c r="X77" s="153"/>
      <c r="Y77" s="153"/>
    </row>
    <row r="78" spans="3:25" x14ac:dyDescent="0.35">
      <c r="E78" s="23" t="s">
        <v>471</v>
      </c>
      <c r="F78" s="23"/>
      <c r="G78" s="23" t="s">
        <v>283</v>
      </c>
      <c r="J78" s="184">
        <f>'Pseudo-load coefficients'!J267</f>
        <v>2.0373350157761303</v>
      </c>
      <c r="K78" s="184">
        <f>'Pseudo-load coefficients'!K267</f>
        <v>2.0373350157761303</v>
      </c>
      <c r="L78" s="184">
        <f>'Pseudo-load coefficients'!L267</f>
        <v>1.4467289320630352</v>
      </c>
      <c r="M78" s="184">
        <f>'Pseudo-load coefficients'!M267</f>
        <v>1.4467289320630352</v>
      </c>
      <c r="N78" s="184">
        <f>'Pseudo-load coefficients'!N267</f>
        <v>1.3373268975030113</v>
      </c>
      <c r="O78" s="184">
        <f>'Pseudo-load coefficients'!O267</f>
        <v>1.0839027779896677</v>
      </c>
      <c r="P78" s="184">
        <f>'Pseudo-load coefficients'!P267</f>
        <v>1.1062579461997903</v>
      </c>
      <c r="Q78" s="184">
        <f>'Pseudo-load coefficients'!Q267</f>
        <v>1.919495480855355</v>
      </c>
      <c r="R78" s="184">
        <f>'Pseudo-load coefficients'!R267</f>
        <v>1</v>
      </c>
      <c r="S78" s="184">
        <f>'Pseudo-load coefficients'!S267</f>
        <v>1</v>
      </c>
      <c r="T78" s="184">
        <f>'Pseudo-load coefficients'!T267</f>
        <v>1</v>
      </c>
      <c r="U78" s="184">
        <f>'Pseudo-load coefficients'!U267</f>
        <v>1</v>
      </c>
      <c r="V78" s="184">
        <f>'Pseudo-load coefficients'!V267</f>
        <v>1</v>
      </c>
      <c r="W78" s="184">
        <f>'Pseudo-load coefficients'!W267</f>
        <v>1</v>
      </c>
      <c r="X78" s="184">
        <f>'Pseudo-load coefficients'!X267</f>
        <v>1</v>
      </c>
      <c r="Y78" s="184">
        <f>'Pseudo-load coefficients'!Y267</f>
        <v>1</v>
      </c>
    </row>
    <row r="79" spans="3:25" x14ac:dyDescent="0.35">
      <c r="D79" s="27"/>
      <c r="J79" s="153"/>
      <c r="K79" s="153"/>
      <c r="L79" s="153"/>
      <c r="M79" s="153"/>
      <c r="N79" s="153"/>
      <c r="O79" s="153"/>
      <c r="P79" s="153"/>
      <c r="Q79" s="153"/>
      <c r="R79" s="153"/>
      <c r="S79" s="153"/>
      <c r="T79" s="153"/>
      <c r="U79" s="153"/>
      <c r="V79" s="153"/>
      <c r="W79" s="153"/>
      <c r="X79" s="153"/>
      <c r="Y79" s="153"/>
    </row>
    <row r="80" spans="3:25" x14ac:dyDescent="0.35">
      <c r="E80" s="27" t="s">
        <v>506</v>
      </c>
      <c r="J80" s="153"/>
      <c r="K80" s="153"/>
      <c r="L80" s="153"/>
      <c r="M80" s="153"/>
      <c r="N80" s="153"/>
      <c r="O80" s="153"/>
      <c r="P80" s="153"/>
      <c r="Q80" s="153"/>
      <c r="R80" s="153"/>
      <c r="S80" s="153"/>
      <c r="T80" s="153"/>
      <c r="U80" s="153"/>
      <c r="V80" s="153"/>
      <c r="W80" s="153"/>
      <c r="X80" s="153"/>
      <c r="Y80" s="153"/>
    </row>
    <row r="81" spans="5:25" x14ac:dyDescent="0.35">
      <c r="E81" s="27"/>
      <c r="F81" s="180" t="s">
        <v>189</v>
      </c>
      <c r="G81" s="54" t="s">
        <v>283</v>
      </c>
      <c r="H81" s="19"/>
      <c r="I81" s="19"/>
      <c r="J81" s="403">
        <f>'Pseudo-load coefficients'!J272</f>
        <v>14.162832653707317</v>
      </c>
      <c r="K81" s="403">
        <f>'Pseudo-load coefficients'!K272</f>
        <v>14.162832653707317</v>
      </c>
      <c r="L81" s="403">
        <f>'Pseudo-load coefficients'!L272</f>
        <v>13.248132319404277</v>
      </c>
      <c r="M81" s="403">
        <f>'Pseudo-load coefficients'!M272</f>
        <v>13.248132319404277</v>
      </c>
      <c r="N81" s="403">
        <f>'Pseudo-load coefficients'!N272</f>
        <v>11.653597141810128</v>
      </c>
      <c r="O81" s="403">
        <f>'Pseudo-load coefficients'!O272</f>
        <v>9.9074217699409211</v>
      </c>
      <c r="P81" s="403">
        <f>'Pseudo-load coefficients'!P272</f>
        <v>10.2015501691212</v>
      </c>
      <c r="Q81" s="403">
        <f>'Pseudo-load coefficients'!Q272</f>
        <v>27.374811832433448</v>
      </c>
      <c r="R81" s="403">
        <f>'Pseudo-load coefficients'!R272</f>
        <v>9.830576642437304</v>
      </c>
      <c r="S81" s="403">
        <f>'Pseudo-load coefficients'!S272</f>
        <v>9.830576642437304</v>
      </c>
      <c r="T81" s="403">
        <f>'Pseudo-load coefficients'!T272</f>
        <v>9.830576642437304</v>
      </c>
      <c r="U81" s="403">
        <f>'Pseudo-load coefficients'!U272</f>
        <v>9.830576642437304</v>
      </c>
      <c r="V81" s="403">
        <f>'Pseudo-load coefficients'!V272</f>
        <v>9.830576642437304</v>
      </c>
      <c r="W81" s="403">
        <f>'Pseudo-load coefficients'!W272</f>
        <v>9.830576642437304</v>
      </c>
      <c r="X81" s="403">
        <f>'Pseudo-load coefficients'!X272</f>
        <v>9.830576642437304</v>
      </c>
      <c r="Y81" s="403">
        <f>'Pseudo-load coefficients'!Y272</f>
        <v>9.830576642437304</v>
      </c>
    </row>
    <row r="82" spans="5:25" x14ac:dyDescent="0.35">
      <c r="E82" s="27"/>
      <c r="F82" s="181" t="s">
        <v>191</v>
      </c>
      <c r="G82" s="23" t="s">
        <v>283</v>
      </c>
      <c r="J82" s="184">
        <f>'Pseudo-load coefficients'!J272</f>
        <v>14.162832653707317</v>
      </c>
      <c r="K82" s="184">
        <f>'Pseudo-load coefficients'!K272</f>
        <v>14.162832653707317</v>
      </c>
      <c r="L82" s="184">
        <f>'Pseudo-load coefficients'!L272</f>
        <v>13.248132319404277</v>
      </c>
      <c r="M82" s="184">
        <f>'Pseudo-load coefficients'!M272</f>
        <v>13.248132319404277</v>
      </c>
      <c r="N82" s="184">
        <f>'Pseudo-load coefficients'!N272</f>
        <v>11.653597141810128</v>
      </c>
      <c r="O82" s="184">
        <f>'Pseudo-load coefficients'!O272</f>
        <v>9.9074217699409211</v>
      </c>
      <c r="P82" s="184">
        <f>'Pseudo-load coefficients'!P272</f>
        <v>10.2015501691212</v>
      </c>
      <c r="Q82" s="184">
        <f>'Pseudo-load coefficients'!Q272</f>
        <v>27.374811832433448</v>
      </c>
      <c r="R82" s="184">
        <f>'Pseudo-load coefficients'!R272</f>
        <v>9.830576642437304</v>
      </c>
      <c r="S82" s="184">
        <f>'Pseudo-load coefficients'!S272</f>
        <v>9.830576642437304</v>
      </c>
      <c r="T82" s="184">
        <f>'Pseudo-load coefficients'!T272</f>
        <v>9.830576642437304</v>
      </c>
      <c r="U82" s="184">
        <f>'Pseudo-load coefficients'!U272</f>
        <v>9.830576642437304</v>
      </c>
      <c r="V82" s="184">
        <f>'Pseudo-load coefficients'!V272</f>
        <v>9.830576642437304</v>
      </c>
      <c r="W82" s="184">
        <f>'Pseudo-load coefficients'!W272</f>
        <v>9.830576642437304</v>
      </c>
      <c r="X82" s="184">
        <f>'Pseudo-load coefficients'!X272</f>
        <v>9.830576642437304</v>
      </c>
      <c r="Y82" s="184">
        <f>'Pseudo-load coefficients'!Y272</f>
        <v>9.830576642437304</v>
      </c>
    </row>
    <row r="83" spans="5:25" x14ac:dyDescent="0.35">
      <c r="E83" s="27"/>
      <c r="F83" s="181" t="s">
        <v>192</v>
      </c>
      <c r="G83" s="23" t="s">
        <v>283</v>
      </c>
      <c r="J83" s="184">
        <f>'Pseudo-load coefficients'!J273</f>
        <v>11.985481202786078</v>
      </c>
      <c r="K83" s="184">
        <f>'Pseudo-load coefficients'!K273</f>
        <v>11.985481202786078</v>
      </c>
      <c r="L83" s="184">
        <f>'Pseudo-load coefficients'!L273</f>
        <v>11.211404156828646</v>
      </c>
      <c r="M83" s="184">
        <f>'Pseudo-load coefficients'!M273</f>
        <v>11.211404156828646</v>
      </c>
      <c r="N83" s="184">
        <f>'Pseudo-load coefficients'!N273</f>
        <v>9.8620080391506466</v>
      </c>
      <c r="O83" s="184">
        <f>'Pseudo-load coefficients'!O273</f>
        <v>8.3842844362506312</v>
      </c>
      <c r="P83" s="184">
        <f>'Pseudo-load coefficients'!P273</f>
        <v>8.6331944167451056</v>
      </c>
      <c r="Q83" s="184">
        <f>'Pseudo-load coefficients'!Q273</f>
        <v>26.525004355553868</v>
      </c>
      <c r="R83" s="184">
        <f>'Pseudo-load coefficients'!R273</f>
        <v>8.3192532483703445</v>
      </c>
      <c r="S83" s="184">
        <f>'Pseudo-load coefficients'!S273</f>
        <v>8.3192532483703445</v>
      </c>
      <c r="T83" s="184">
        <f>'Pseudo-load coefficients'!T273</f>
        <v>8.3192532483703445</v>
      </c>
      <c r="U83" s="184">
        <f>'Pseudo-load coefficients'!U273</f>
        <v>8.3192532483703445</v>
      </c>
      <c r="V83" s="184">
        <f>'Pseudo-load coefficients'!V273</f>
        <v>8.3192532483703445</v>
      </c>
      <c r="W83" s="184">
        <f>'Pseudo-load coefficients'!W273</f>
        <v>8.3192532483703445</v>
      </c>
      <c r="X83" s="184">
        <f>'Pseudo-load coefficients'!X273</f>
        <v>8.3192532483703445</v>
      </c>
      <c r="Y83" s="184">
        <f>'Pseudo-load coefficients'!Y273</f>
        <v>8.3192532483703445</v>
      </c>
    </row>
    <row r="84" spans="5:25" x14ac:dyDescent="0.35">
      <c r="E84" s="27"/>
      <c r="F84" s="181" t="s">
        <v>193</v>
      </c>
      <c r="G84" s="23" t="s">
        <v>283</v>
      </c>
      <c r="J84" s="184">
        <f>'Pseudo-load coefficients'!J274</f>
        <v>11.985481202786078</v>
      </c>
      <c r="K84" s="184">
        <f>'Pseudo-load coefficients'!K274</f>
        <v>11.985481202786078</v>
      </c>
      <c r="L84" s="184">
        <f>'Pseudo-load coefficients'!L274</f>
        <v>11.211404156828646</v>
      </c>
      <c r="M84" s="184">
        <f>'Pseudo-load coefficients'!M274</f>
        <v>11.211404156828646</v>
      </c>
      <c r="N84" s="184">
        <f>'Pseudo-load coefficients'!N274</f>
        <v>9.8620080391506466</v>
      </c>
      <c r="O84" s="184">
        <f>'Pseudo-load coefficients'!O274</f>
        <v>8.3842844362506312</v>
      </c>
      <c r="P84" s="184">
        <f>'Pseudo-load coefficients'!P274</f>
        <v>8.6331944167451056</v>
      </c>
      <c r="Q84" s="184">
        <f>'Pseudo-load coefficients'!Q274</f>
        <v>26.525004355553868</v>
      </c>
      <c r="R84" s="184">
        <f>'Pseudo-load coefficients'!R274</f>
        <v>8.3192532483703445</v>
      </c>
      <c r="S84" s="184">
        <f>'Pseudo-load coefficients'!S274</f>
        <v>8.3192532483703445</v>
      </c>
      <c r="T84" s="184">
        <f>'Pseudo-load coefficients'!T274</f>
        <v>8.3192532483703445</v>
      </c>
      <c r="U84" s="184">
        <f>'Pseudo-load coefficients'!U274</f>
        <v>8.3192532483703445</v>
      </c>
      <c r="V84" s="184">
        <f>'Pseudo-load coefficients'!V274</f>
        <v>8.3192532483703445</v>
      </c>
      <c r="W84" s="184">
        <f>'Pseudo-load coefficients'!W274</f>
        <v>8.3192532483703445</v>
      </c>
      <c r="X84" s="184">
        <f>'Pseudo-load coefficients'!X274</f>
        <v>8.3192532483703445</v>
      </c>
      <c r="Y84" s="184">
        <f>'Pseudo-load coefficients'!Y274</f>
        <v>8.3192532483703445</v>
      </c>
    </row>
    <row r="85" spans="5:25" x14ac:dyDescent="0.35">
      <c r="E85" s="27"/>
      <c r="F85" s="181" t="s">
        <v>194</v>
      </c>
      <c r="G85" s="23" t="s">
        <v>283</v>
      </c>
      <c r="J85" s="184">
        <f>'Pseudo-load coefficients'!J275</f>
        <v>9.9952726779436443</v>
      </c>
      <c r="K85" s="184">
        <f>'Pseudo-load coefficients'!K275</f>
        <v>9.9952726779436443</v>
      </c>
      <c r="L85" s="184">
        <f>'Pseudo-load coefficients'!L275</f>
        <v>9.34973237654272</v>
      </c>
      <c r="M85" s="184">
        <f>'Pseudo-load coefficients'!M275</f>
        <v>9.34973237654272</v>
      </c>
      <c r="N85" s="184">
        <f>'Pseudo-load coefficients'!N275</f>
        <v>8.2244056651199955</v>
      </c>
      <c r="O85" s="184">
        <f>'Pseudo-load coefficients'!O275</f>
        <v>6.9920604548012344</v>
      </c>
      <c r="P85" s="184">
        <f>'Pseudo-load coefficients'!P275</f>
        <v>7.1996385307424475</v>
      </c>
      <c r="Q85" s="184">
        <f>'Pseudo-load coefficients'!Q275</f>
        <v>22.07877832040867</v>
      </c>
      <c r="R85" s="184">
        <f>'Pseudo-load coefficients'!R275</f>
        <v>6.9378278007728795</v>
      </c>
      <c r="S85" s="184">
        <f>'Pseudo-load coefficients'!S275</f>
        <v>6.9378278007728795</v>
      </c>
      <c r="T85" s="184">
        <f>'Pseudo-load coefficients'!T275</f>
        <v>6.9378278007728795</v>
      </c>
      <c r="U85" s="184">
        <f>'Pseudo-load coefficients'!U275</f>
        <v>6.9378278007728795</v>
      </c>
      <c r="V85" s="184">
        <f>'Pseudo-load coefficients'!V275</f>
        <v>6.9378278007728795</v>
      </c>
      <c r="W85" s="184">
        <f>'Pseudo-load coefficients'!W275</f>
        <v>6.9378278007728795</v>
      </c>
      <c r="X85" s="184">
        <f>'Pseudo-load coefficients'!X275</f>
        <v>6.9378278007728795</v>
      </c>
      <c r="Y85" s="184">
        <f>'Pseudo-load coefficients'!Y275</f>
        <v>6.9378278007728795</v>
      </c>
    </row>
    <row r="86" spans="5:25" x14ac:dyDescent="0.35">
      <c r="E86" s="27"/>
      <c r="F86" s="181" t="s">
        <v>195</v>
      </c>
      <c r="G86" s="23" t="s">
        <v>283</v>
      </c>
      <c r="J86" s="184">
        <f>'Pseudo-load coefficients'!J276</f>
        <v>9.9952726779436443</v>
      </c>
      <c r="K86" s="184">
        <f>'Pseudo-load coefficients'!K276</f>
        <v>9.9952726779436443</v>
      </c>
      <c r="L86" s="184">
        <f>'Pseudo-load coefficients'!L276</f>
        <v>9.34973237654272</v>
      </c>
      <c r="M86" s="184">
        <f>'Pseudo-load coefficients'!M276</f>
        <v>9.34973237654272</v>
      </c>
      <c r="N86" s="184">
        <f>'Pseudo-load coefficients'!N276</f>
        <v>8.2244056651199955</v>
      </c>
      <c r="O86" s="184">
        <f>'Pseudo-load coefficients'!O276</f>
        <v>6.9920604548012344</v>
      </c>
      <c r="P86" s="184">
        <f>'Pseudo-load coefficients'!P276</f>
        <v>7.1996385307424475</v>
      </c>
      <c r="Q86" s="184">
        <f>'Pseudo-load coefficients'!Q276</f>
        <v>22.07877832040867</v>
      </c>
      <c r="R86" s="184">
        <f>'Pseudo-load coefficients'!R276</f>
        <v>6.9378278007728795</v>
      </c>
      <c r="S86" s="184">
        <f>'Pseudo-load coefficients'!S276</f>
        <v>6.9378278007728795</v>
      </c>
      <c r="T86" s="184">
        <f>'Pseudo-load coefficients'!T276</f>
        <v>6.9378278007728795</v>
      </c>
      <c r="U86" s="184">
        <f>'Pseudo-load coefficients'!U276</f>
        <v>6.9378278007728795</v>
      </c>
      <c r="V86" s="184">
        <f>'Pseudo-load coefficients'!V276</f>
        <v>6.9378278007728795</v>
      </c>
      <c r="W86" s="184">
        <f>'Pseudo-load coefficients'!W276</f>
        <v>6.9378278007728795</v>
      </c>
      <c r="X86" s="184">
        <f>'Pseudo-load coefficients'!X276</f>
        <v>6.9378278007728795</v>
      </c>
      <c r="Y86" s="184">
        <f>'Pseudo-load coefficients'!Y276</f>
        <v>6.9378278007728795</v>
      </c>
    </row>
    <row r="87" spans="5:25" x14ac:dyDescent="0.35">
      <c r="E87" s="27"/>
      <c r="F87" s="181" t="s">
        <v>196</v>
      </c>
      <c r="G87" s="23" t="s">
        <v>283</v>
      </c>
      <c r="J87" s="184">
        <f>'Pseudo-load coefficients'!J277</f>
        <v>0</v>
      </c>
      <c r="K87" s="184">
        <f>'Pseudo-load coefficients'!K277</f>
        <v>0</v>
      </c>
      <c r="L87" s="184">
        <f>'Pseudo-load coefficients'!L277</f>
        <v>0</v>
      </c>
      <c r="M87" s="184">
        <f>'Pseudo-load coefficients'!M277</f>
        <v>0</v>
      </c>
      <c r="N87" s="184">
        <f>'Pseudo-load coefficients'!N277</f>
        <v>0</v>
      </c>
      <c r="O87" s="184">
        <f>'Pseudo-load coefficients'!O277</f>
        <v>0</v>
      </c>
      <c r="P87" s="184">
        <f>'Pseudo-load coefficients'!P277</f>
        <v>0</v>
      </c>
      <c r="Q87" s="184">
        <f>'Pseudo-load coefficients'!Q277</f>
        <v>0</v>
      </c>
      <c r="R87" s="184">
        <f>'Pseudo-load coefficients'!R277</f>
        <v>0</v>
      </c>
      <c r="S87" s="184">
        <f>'Pseudo-load coefficients'!S277</f>
        <v>0</v>
      </c>
      <c r="T87" s="184">
        <f>'Pseudo-load coefficients'!T277</f>
        <v>0</v>
      </c>
      <c r="U87" s="184">
        <f>'Pseudo-load coefficients'!U277</f>
        <v>0</v>
      </c>
      <c r="V87" s="184">
        <f>'Pseudo-load coefficients'!V277</f>
        <v>0</v>
      </c>
      <c r="W87" s="184">
        <f>'Pseudo-load coefficients'!W277</f>
        <v>0</v>
      </c>
      <c r="X87" s="184">
        <f>'Pseudo-load coefficients'!X277</f>
        <v>0</v>
      </c>
      <c r="Y87" s="184">
        <f>'Pseudo-load coefficients'!Y277</f>
        <v>0</v>
      </c>
    </row>
    <row r="88" spans="5:25" x14ac:dyDescent="0.35">
      <c r="E88" s="27"/>
      <c r="F88" s="181" t="s">
        <v>197</v>
      </c>
      <c r="G88" s="23" t="s">
        <v>283</v>
      </c>
      <c r="J88" s="184">
        <f>'Pseudo-load coefficients'!J278</f>
        <v>6.2992886398913202</v>
      </c>
      <c r="K88" s="184">
        <f>'Pseudo-load coefficients'!K278</f>
        <v>6.2992886398913202</v>
      </c>
      <c r="L88" s="184">
        <f>'Pseudo-load coefficients'!L278</f>
        <v>5.8924518463158728</v>
      </c>
      <c r="M88" s="184">
        <f>'Pseudo-load coefficients'!M278</f>
        <v>5.8924518463158728</v>
      </c>
      <c r="N88" s="184">
        <f>'Pseudo-load coefficients'!N278</f>
        <v>5.1832408024717136</v>
      </c>
      <c r="O88" s="184">
        <f>'Pseudo-load coefficients'!O278</f>
        <v>4.4065838333311236</v>
      </c>
      <c r="P88" s="184">
        <f>'Pseudo-load coefficients'!P278</f>
        <v>4.5374050983229655</v>
      </c>
      <c r="Q88" s="184">
        <f>'Pseudo-load coefficients'!Q278</f>
        <v>13.32241277463428</v>
      </c>
      <c r="R88" s="184">
        <f>'Pseudo-load coefficients'!R278</f>
        <v>4.3724049617345706</v>
      </c>
      <c r="S88" s="184">
        <f>'Pseudo-load coefficients'!S278</f>
        <v>4.3724049617345706</v>
      </c>
      <c r="T88" s="184">
        <f>'Pseudo-load coefficients'!T278</f>
        <v>4.3724049617345706</v>
      </c>
      <c r="U88" s="184">
        <f>'Pseudo-load coefficients'!U278</f>
        <v>4.3724049617345706</v>
      </c>
      <c r="V88" s="184">
        <f>'Pseudo-load coefficients'!V278</f>
        <v>4.3724049617345706</v>
      </c>
      <c r="W88" s="184">
        <f>'Pseudo-load coefficients'!W278</f>
        <v>4.3724049617345706</v>
      </c>
      <c r="X88" s="184">
        <f>'Pseudo-load coefficients'!X278</f>
        <v>4.3724049617345706</v>
      </c>
      <c r="Y88" s="184">
        <f>'Pseudo-load coefficients'!Y278</f>
        <v>4.3724049617345706</v>
      </c>
    </row>
    <row r="89" spans="5:25" x14ac:dyDescent="0.35">
      <c r="E89" s="27"/>
      <c r="F89" s="181" t="s">
        <v>198</v>
      </c>
      <c r="G89" s="23" t="s">
        <v>283</v>
      </c>
      <c r="J89" s="184">
        <f>'Pseudo-load coefficients'!J279</f>
        <v>6.2992886398913202</v>
      </c>
      <c r="K89" s="184">
        <f>'Pseudo-load coefficients'!K279</f>
        <v>6.2992886398913202</v>
      </c>
      <c r="L89" s="184">
        <f>'Pseudo-load coefficients'!L279</f>
        <v>5.8924518463158728</v>
      </c>
      <c r="M89" s="184">
        <f>'Pseudo-load coefficients'!M279</f>
        <v>5.8924518463158728</v>
      </c>
      <c r="N89" s="184">
        <f>'Pseudo-load coefficients'!N279</f>
        <v>5.1832408024717136</v>
      </c>
      <c r="O89" s="184">
        <f>'Pseudo-load coefficients'!O279</f>
        <v>4.4065838333311236</v>
      </c>
      <c r="P89" s="184">
        <f>'Pseudo-load coefficients'!P279</f>
        <v>4.5374050983229655</v>
      </c>
      <c r="Q89" s="184">
        <f>'Pseudo-load coefficients'!Q279</f>
        <v>13.32241277463428</v>
      </c>
      <c r="R89" s="184">
        <f>'Pseudo-load coefficients'!R279</f>
        <v>4.3724049617345706</v>
      </c>
      <c r="S89" s="184">
        <f>'Pseudo-load coefficients'!S279</f>
        <v>4.3724049617345706</v>
      </c>
      <c r="T89" s="184">
        <f>'Pseudo-load coefficients'!T279</f>
        <v>4.3724049617345706</v>
      </c>
      <c r="U89" s="184">
        <f>'Pseudo-load coefficients'!U279</f>
        <v>4.3724049617345706</v>
      </c>
      <c r="V89" s="184">
        <f>'Pseudo-load coefficients'!V279</f>
        <v>4.3724049617345706</v>
      </c>
      <c r="W89" s="184">
        <f>'Pseudo-load coefficients'!W279</f>
        <v>4.3724049617345706</v>
      </c>
      <c r="X89" s="184">
        <f>'Pseudo-load coefficients'!X279</f>
        <v>4.3724049617345706</v>
      </c>
      <c r="Y89" s="184">
        <f>'Pseudo-load coefficients'!Y279</f>
        <v>4.3724049617345706</v>
      </c>
    </row>
    <row r="90" spans="5:25" x14ac:dyDescent="0.35">
      <c r="E90" s="27"/>
      <c r="F90" s="182" t="s">
        <v>199</v>
      </c>
      <c r="G90" s="57" t="s">
        <v>283</v>
      </c>
      <c r="H90" s="28"/>
      <c r="I90" s="28"/>
      <c r="J90" s="185">
        <f>'Pseudo-load coefficients'!J280</f>
        <v>6.2992886398913202</v>
      </c>
      <c r="K90" s="185">
        <f>'Pseudo-load coefficients'!K280</f>
        <v>6.2992886398913202</v>
      </c>
      <c r="L90" s="185">
        <f>'Pseudo-load coefficients'!L280</f>
        <v>5.8924518463158728</v>
      </c>
      <c r="M90" s="185">
        <f>'Pseudo-load coefficients'!M280</f>
        <v>5.8924518463158728</v>
      </c>
      <c r="N90" s="185">
        <f>'Pseudo-load coefficients'!N280</f>
        <v>5.1832408024717136</v>
      </c>
      <c r="O90" s="185">
        <f>'Pseudo-load coefficients'!O280</f>
        <v>4.4065838333311236</v>
      </c>
      <c r="P90" s="185">
        <f>'Pseudo-load coefficients'!P280</f>
        <v>4.5374050983229655</v>
      </c>
      <c r="Q90" s="185">
        <f>'Pseudo-load coefficients'!Q280</f>
        <v>13.32241277463428</v>
      </c>
      <c r="R90" s="185">
        <f>'Pseudo-load coefficients'!R280</f>
        <v>4.3724049617345706</v>
      </c>
      <c r="S90" s="185">
        <f>'Pseudo-load coefficients'!S280</f>
        <v>4.3724049617345706</v>
      </c>
      <c r="T90" s="185">
        <f>'Pseudo-load coefficients'!T280</f>
        <v>4.3724049617345706</v>
      </c>
      <c r="U90" s="185">
        <f>'Pseudo-load coefficients'!U280</f>
        <v>4.3724049617345706</v>
      </c>
      <c r="V90" s="185">
        <f>'Pseudo-load coefficients'!V280</f>
        <v>4.3724049617345706</v>
      </c>
      <c r="W90" s="185">
        <f>'Pseudo-load coefficients'!W280</f>
        <v>4.3724049617345706</v>
      </c>
      <c r="X90" s="185">
        <f>'Pseudo-load coefficients'!X280</f>
        <v>4.3724049617345706</v>
      </c>
      <c r="Y90" s="185">
        <f>'Pseudo-load coefficients'!Y280</f>
        <v>4.3724049617345706</v>
      </c>
    </row>
    <row r="91" spans="5:25" x14ac:dyDescent="0.35">
      <c r="E91" s="27"/>
      <c r="J91" s="153"/>
      <c r="K91" s="153"/>
      <c r="L91" s="153"/>
      <c r="M91" s="153"/>
      <c r="N91" s="153"/>
      <c r="O91" s="153"/>
      <c r="P91" s="153"/>
      <c r="Q91" s="153"/>
      <c r="R91" s="153"/>
      <c r="S91" s="153"/>
      <c r="T91" s="153"/>
      <c r="U91" s="153"/>
      <c r="V91" s="153"/>
      <c r="W91" s="153"/>
      <c r="X91" s="153"/>
      <c r="Y91" s="153"/>
    </row>
    <row r="92" spans="5:25" x14ac:dyDescent="0.35">
      <c r="E92" s="27" t="s">
        <v>509</v>
      </c>
      <c r="J92" s="153"/>
      <c r="K92" s="153"/>
      <c r="L92" s="153"/>
      <c r="M92" s="153"/>
      <c r="N92" s="153"/>
      <c r="O92" s="153"/>
      <c r="P92" s="153"/>
      <c r="Q92" s="153"/>
      <c r="R92" s="153"/>
      <c r="S92" s="153"/>
      <c r="T92" s="153"/>
      <c r="U92" s="153"/>
      <c r="V92" s="153"/>
      <c r="W92" s="153"/>
      <c r="X92" s="153"/>
      <c r="Y92" s="153"/>
    </row>
    <row r="93" spans="5:25" x14ac:dyDescent="0.35">
      <c r="E93" s="27"/>
      <c r="F93" s="180" t="s">
        <v>189</v>
      </c>
      <c r="G93" s="54" t="s">
        <v>283</v>
      </c>
      <c r="H93" s="19"/>
      <c r="I93" s="19"/>
      <c r="J93" s="403">
        <f>'Pseudo-load coefficients'!J283</f>
        <v>0.34953505318271522</v>
      </c>
      <c r="K93" s="403">
        <f>'Pseudo-load coefficients'!K283</f>
        <v>0.34953505318271522</v>
      </c>
      <c r="L93" s="403">
        <f>'Pseudo-load coefficients'!L283</f>
        <v>0.32696048509917797</v>
      </c>
      <c r="M93" s="403">
        <f>'Pseudo-load coefficients'!M283</f>
        <v>0.32696048509917797</v>
      </c>
      <c r="N93" s="403">
        <f>'Pseudo-load coefficients'!N283</f>
        <v>0.28760776861020726</v>
      </c>
      <c r="O93" s="403">
        <f>'Pseudo-load coefficients'!O283</f>
        <v>0.24451261127860641</v>
      </c>
      <c r="P93" s="403">
        <f>'Pseudo-load coefficients'!P283</f>
        <v>0.25177162422917698</v>
      </c>
      <c r="Q93" s="403">
        <f>'Pseudo-load coefficients'!Q283</f>
        <v>0.55436839402115112</v>
      </c>
      <c r="R93" s="403">
        <f>'Pseudo-load coefficients'!R283</f>
        <v>0.24261609337250953</v>
      </c>
      <c r="S93" s="403">
        <f>'Pseudo-load coefficients'!S283</f>
        <v>0.24261609337250953</v>
      </c>
      <c r="T93" s="403">
        <f>'Pseudo-load coefficients'!T283</f>
        <v>0.24261609337250953</v>
      </c>
      <c r="U93" s="403">
        <f>'Pseudo-load coefficients'!U283</f>
        <v>0.24261609337250953</v>
      </c>
      <c r="V93" s="403">
        <f>'Pseudo-load coefficients'!V283</f>
        <v>0.24261609337250953</v>
      </c>
      <c r="W93" s="403">
        <f>'Pseudo-load coefficients'!W283</f>
        <v>0.24261609337250953</v>
      </c>
      <c r="X93" s="403">
        <f>'Pseudo-load coefficients'!X283</f>
        <v>0.24261609337250953</v>
      </c>
      <c r="Y93" s="403">
        <f>'Pseudo-load coefficients'!Y283</f>
        <v>0.24261609337250953</v>
      </c>
    </row>
    <row r="94" spans="5:25" x14ac:dyDescent="0.35">
      <c r="E94" s="27"/>
      <c r="F94" s="181" t="s">
        <v>191</v>
      </c>
      <c r="G94" s="23" t="s">
        <v>283</v>
      </c>
      <c r="J94" s="184">
        <f>'Pseudo-load coefficients'!J283</f>
        <v>0.34953505318271522</v>
      </c>
      <c r="K94" s="184">
        <f>'Pseudo-load coefficients'!K283</f>
        <v>0.34953505318271522</v>
      </c>
      <c r="L94" s="184">
        <f>'Pseudo-load coefficients'!L283</f>
        <v>0.32696048509917797</v>
      </c>
      <c r="M94" s="184">
        <f>'Pseudo-load coefficients'!M283</f>
        <v>0.32696048509917797</v>
      </c>
      <c r="N94" s="184">
        <f>'Pseudo-load coefficients'!N283</f>
        <v>0.28760776861020726</v>
      </c>
      <c r="O94" s="184">
        <f>'Pseudo-load coefficients'!O283</f>
        <v>0.24451261127860641</v>
      </c>
      <c r="P94" s="184">
        <f>'Pseudo-load coefficients'!P283</f>
        <v>0.25177162422917698</v>
      </c>
      <c r="Q94" s="184">
        <f>'Pseudo-load coefficients'!Q283</f>
        <v>0.55436839402115112</v>
      </c>
      <c r="R94" s="184">
        <f>'Pseudo-load coefficients'!R283</f>
        <v>0.24261609337250953</v>
      </c>
      <c r="S94" s="184">
        <f>'Pseudo-load coefficients'!S283</f>
        <v>0.24261609337250953</v>
      </c>
      <c r="T94" s="184">
        <f>'Pseudo-load coefficients'!T283</f>
        <v>0.24261609337250953</v>
      </c>
      <c r="U94" s="184">
        <f>'Pseudo-load coefficients'!U283</f>
        <v>0.24261609337250953</v>
      </c>
      <c r="V94" s="184">
        <f>'Pseudo-load coefficients'!V283</f>
        <v>0.24261609337250953</v>
      </c>
      <c r="W94" s="184">
        <f>'Pseudo-load coefficients'!W283</f>
        <v>0.24261609337250953</v>
      </c>
      <c r="X94" s="184">
        <f>'Pseudo-load coefficients'!X283</f>
        <v>0.24261609337250953</v>
      </c>
      <c r="Y94" s="184">
        <f>'Pseudo-load coefficients'!Y283</f>
        <v>0.24261609337250953</v>
      </c>
    </row>
    <row r="95" spans="5:25" x14ac:dyDescent="0.35">
      <c r="E95" s="27"/>
      <c r="F95" s="181" t="s">
        <v>192</v>
      </c>
      <c r="G95" s="23" t="s">
        <v>283</v>
      </c>
      <c r="J95" s="184">
        <f>'Pseudo-load coefficients'!J284</f>
        <v>0.71221418637181566</v>
      </c>
      <c r="K95" s="184">
        <f>'Pseudo-load coefficients'!K284</f>
        <v>0.71221418637181566</v>
      </c>
      <c r="L95" s="184">
        <f>'Pseudo-load coefficients'!L284</f>
        <v>0.66621614556328168</v>
      </c>
      <c r="M95" s="184">
        <f>'Pseudo-load coefficients'!M284</f>
        <v>0.66621614556328168</v>
      </c>
      <c r="N95" s="184">
        <f>'Pseudo-load coefficients'!N284</f>
        <v>0.58603087458543224</v>
      </c>
      <c r="O95" s="184">
        <f>'Pseudo-load coefficients'!O284</f>
        <v>0.49821998942237222</v>
      </c>
      <c r="P95" s="184">
        <f>'Pseudo-load coefficients'!P284</f>
        <v>0.51301098664962475</v>
      </c>
      <c r="Q95" s="184">
        <f>'Pseudo-load coefficients'!Q284</f>
        <v>0.58068520204618945</v>
      </c>
      <c r="R95" s="184">
        <f>'Pseudo-load coefficients'!R284</f>
        <v>0.49435563606172578</v>
      </c>
      <c r="S95" s="184">
        <f>'Pseudo-load coefficients'!S284</f>
        <v>0.49435563606172578</v>
      </c>
      <c r="T95" s="184">
        <f>'Pseudo-load coefficients'!T284</f>
        <v>0.49435563606172578</v>
      </c>
      <c r="U95" s="184">
        <f>'Pseudo-load coefficients'!U284</f>
        <v>0.49435563606172578</v>
      </c>
      <c r="V95" s="184">
        <f>'Pseudo-load coefficients'!V284</f>
        <v>0.49435563606172578</v>
      </c>
      <c r="W95" s="184">
        <f>'Pseudo-load coefficients'!W284</f>
        <v>0.49435563606172578</v>
      </c>
      <c r="X95" s="184">
        <f>'Pseudo-load coefficients'!X284</f>
        <v>0.49435563606172578</v>
      </c>
      <c r="Y95" s="184">
        <f>'Pseudo-load coefficients'!Y284</f>
        <v>0.49435563606172578</v>
      </c>
    </row>
    <row r="96" spans="5:25" x14ac:dyDescent="0.35">
      <c r="E96" s="27"/>
      <c r="F96" s="181" t="s">
        <v>193</v>
      </c>
      <c r="G96" s="23" t="s">
        <v>283</v>
      </c>
      <c r="J96" s="184">
        <f>'Pseudo-load coefficients'!J285</f>
        <v>0.71221418637181566</v>
      </c>
      <c r="K96" s="184">
        <f>'Pseudo-load coefficients'!K285</f>
        <v>0.71221418637181566</v>
      </c>
      <c r="L96" s="184">
        <f>'Pseudo-load coefficients'!L285</f>
        <v>0.66621614556328168</v>
      </c>
      <c r="M96" s="184">
        <f>'Pseudo-load coefficients'!M285</f>
        <v>0.66621614556328168</v>
      </c>
      <c r="N96" s="184">
        <f>'Pseudo-load coefficients'!N285</f>
        <v>0.58603087458543224</v>
      </c>
      <c r="O96" s="184">
        <f>'Pseudo-load coefficients'!O285</f>
        <v>0.49821998942237222</v>
      </c>
      <c r="P96" s="184">
        <f>'Pseudo-load coefficients'!P285</f>
        <v>0.51301098664962475</v>
      </c>
      <c r="Q96" s="184">
        <f>'Pseudo-load coefficients'!Q285</f>
        <v>0.58068520204618945</v>
      </c>
      <c r="R96" s="184">
        <f>'Pseudo-load coefficients'!R285</f>
        <v>0.49435563606172578</v>
      </c>
      <c r="S96" s="184">
        <f>'Pseudo-load coefficients'!S285</f>
        <v>0.49435563606172578</v>
      </c>
      <c r="T96" s="184">
        <f>'Pseudo-load coefficients'!T285</f>
        <v>0.49435563606172578</v>
      </c>
      <c r="U96" s="184">
        <f>'Pseudo-load coefficients'!U285</f>
        <v>0.49435563606172578</v>
      </c>
      <c r="V96" s="184">
        <f>'Pseudo-load coefficients'!V285</f>
        <v>0.49435563606172578</v>
      </c>
      <c r="W96" s="184">
        <f>'Pseudo-load coefficients'!W285</f>
        <v>0.49435563606172578</v>
      </c>
      <c r="X96" s="184">
        <f>'Pseudo-load coefficients'!X285</f>
        <v>0.49435563606172578</v>
      </c>
      <c r="Y96" s="184">
        <f>'Pseudo-load coefficients'!Y285</f>
        <v>0.49435563606172578</v>
      </c>
    </row>
    <row r="97" spans="3:25" x14ac:dyDescent="0.35">
      <c r="E97" s="27"/>
      <c r="F97" s="181" t="s">
        <v>194</v>
      </c>
      <c r="G97" s="23" t="s">
        <v>283</v>
      </c>
      <c r="J97" s="184">
        <f>'Pseudo-load coefficients'!J286</f>
        <v>1.0540155377858806</v>
      </c>
      <c r="K97" s="184">
        <f>'Pseudo-load coefficients'!K286</f>
        <v>1.0540155377858806</v>
      </c>
      <c r="L97" s="184">
        <f>'Pseudo-load coefficients'!L286</f>
        <v>0.98594240663008925</v>
      </c>
      <c r="M97" s="184">
        <f>'Pseudo-load coefficients'!M286</f>
        <v>0.98594240663008925</v>
      </c>
      <c r="N97" s="184">
        <f>'Pseudo-load coefficients'!N286</f>
        <v>0.86727512489175262</v>
      </c>
      <c r="O97" s="184">
        <f>'Pseudo-load coefficients'!O286</f>
        <v>0.73732259218513985</v>
      </c>
      <c r="P97" s="184">
        <f>'Pseudo-load coefficients'!P286</f>
        <v>0.7592119917438469</v>
      </c>
      <c r="Q97" s="184">
        <f>'Pseudo-load coefficients'!Q286</f>
        <v>0.80487638714266962</v>
      </c>
      <c r="R97" s="184">
        <f>'Pseudo-load coefficients'!R286</f>
        <v>0.7316036826723068</v>
      </c>
      <c r="S97" s="184">
        <f>'Pseudo-load coefficients'!S286</f>
        <v>0.7316036826723068</v>
      </c>
      <c r="T97" s="184">
        <f>'Pseudo-load coefficients'!T286</f>
        <v>0.7316036826723068</v>
      </c>
      <c r="U97" s="184">
        <f>'Pseudo-load coefficients'!U286</f>
        <v>0.7316036826723068</v>
      </c>
      <c r="V97" s="184">
        <f>'Pseudo-load coefficients'!V286</f>
        <v>0.7316036826723068</v>
      </c>
      <c r="W97" s="184">
        <f>'Pseudo-load coefficients'!W286</f>
        <v>0.7316036826723068</v>
      </c>
      <c r="X97" s="184">
        <f>'Pseudo-load coefficients'!X286</f>
        <v>0.7316036826723068</v>
      </c>
      <c r="Y97" s="184">
        <f>'Pseudo-load coefficients'!Y286</f>
        <v>0.7316036826723068</v>
      </c>
    </row>
    <row r="98" spans="3:25" x14ac:dyDescent="0.35">
      <c r="E98" s="27"/>
      <c r="F98" s="181" t="s">
        <v>195</v>
      </c>
      <c r="G98" s="23" t="s">
        <v>283</v>
      </c>
      <c r="J98" s="184">
        <f>'Pseudo-load coefficients'!J287</f>
        <v>1.0540155377858806</v>
      </c>
      <c r="K98" s="184">
        <f>'Pseudo-load coefficients'!K287</f>
        <v>1.0540155377858806</v>
      </c>
      <c r="L98" s="184">
        <f>'Pseudo-load coefficients'!L287</f>
        <v>0.98594240663008925</v>
      </c>
      <c r="M98" s="184">
        <f>'Pseudo-load coefficients'!M287</f>
        <v>0.98594240663008925</v>
      </c>
      <c r="N98" s="184">
        <f>'Pseudo-load coefficients'!N287</f>
        <v>0.86727512489175262</v>
      </c>
      <c r="O98" s="184">
        <f>'Pseudo-load coefficients'!O287</f>
        <v>0.73732259218513985</v>
      </c>
      <c r="P98" s="184">
        <f>'Pseudo-load coefficients'!P287</f>
        <v>0.7592119917438469</v>
      </c>
      <c r="Q98" s="184">
        <f>'Pseudo-load coefficients'!Q287</f>
        <v>0.80487638714266962</v>
      </c>
      <c r="R98" s="184">
        <f>'Pseudo-load coefficients'!R287</f>
        <v>0.7316036826723068</v>
      </c>
      <c r="S98" s="184">
        <f>'Pseudo-load coefficients'!S287</f>
        <v>0.7316036826723068</v>
      </c>
      <c r="T98" s="184">
        <f>'Pseudo-load coefficients'!T287</f>
        <v>0.7316036826723068</v>
      </c>
      <c r="U98" s="184">
        <f>'Pseudo-load coefficients'!U287</f>
        <v>0.7316036826723068</v>
      </c>
      <c r="V98" s="184">
        <f>'Pseudo-load coefficients'!V287</f>
        <v>0.7316036826723068</v>
      </c>
      <c r="W98" s="184">
        <f>'Pseudo-load coefficients'!W287</f>
        <v>0.7316036826723068</v>
      </c>
      <c r="X98" s="184">
        <f>'Pseudo-load coefficients'!X287</f>
        <v>0.7316036826723068</v>
      </c>
      <c r="Y98" s="184">
        <f>'Pseudo-load coefficients'!Y287</f>
        <v>0.7316036826723068</v>
      </c>
    </row>
    <row r="99" spans="3:25" x14ac:dyDescent="0.35">
      <c r="E99" s="27"/>
      <c r="F99" s="181" t="s">
        <v>196</v>
      </c>
      <c r="G99" s="23" t="s">
        <v>283</v>
      </c>
      <c r="J99" s="184">
        <f>'Pseudo-load coefficients'!J288</f>
        <v>0</v>
      </c>
      <c r="K99" s="184">
        <f>'Pseudo-load coefficients'!K288</f>
        <v>0</v>
      </c>
      <c r="L99" s="184">
        <f>'Pseudo-load coefficients'!L288</f>
        <v>0</v>
      </c>
      <c r="M99" s="184">
        <f>'Pseudo-load coefficients'!M288</f>
        <v>0</v>
      </c>
      <c r="N99" s="184">
        <f>'Pseudo-load coefficients'!N288</f>
        <v>0</v>
      </c>
      <c r="O99" s="184">
        <f>'Pseudo-load coefficients'!O288</f>
        <v>0</v>
      </c>
      <c r="P99" s="184">
        <f>'Pseudo-load coefficients'!P288</f>
        <v>0</v>
      </c>
      <c r="Q99" s="184">
        <f>'Pseudo-load coefficients'!Q288</f>
        <v>0</v>
      </c>
      <c r="R99" s="184">
        <f>'Pseudo-load coefficients'!R288</f>
        <v>0</v>
      </c>
      <c r="S99" s="184">
        <f>'Pseudo-load coefficients'!S288</f>
        <v>0</v>
      </c>
      <c r="T99" s="184">
        <f>'Pseudo-load coefficients'!T288</f>
        <v>0</v>
      </c>
      <c r="U99" s="184">
        <f>'Pseudo-load coefficients'!U288</f>
        <v>0</v>
      </c>
      <c r="V99" s="184">
        <f>'Pseudo-load coefficients'!V288</f>
        <v>0</v>
      </c>
      <c r="W99" s="184">
        <f>'Pseudo-load coefficients'!W288</f>
        <v>0</v>
      </c>
      <c r="X99" s="184">
        <f>'Pseudo-load coefficients'!X288</f>
        <v>0</v>
      </c>
      <c r="Y99" s="184">
        <f>'Pseudo-load coefficients'!Y288</f>
        <v>0</v>
      </c>
    </row>
    <row r="100" spans="3:25" x14ac:dyDescent="0.35">
      <c r="E100" s="27"/>
      <c r="F100" s="181" t="s">
        <v>197</v>
      </c>
      <c r="G100" s="23" t="s">
        <v>283</v>
      </c>
      <c r="J100" s="184">
        <f>'Pseudo-load coefficients'!J289</f>
        <v>1.6850345048359763</v>
      </c>
      <c r="K100" s="184">
        <f>'Pseudo-load coefficients'!K289</f>
        <v>1.6850345048359763</v>
      </c>
      <c r="L100" s="184">
        <f>'Pseudo-load coefficients'!L289</f>
        <v>1.5762072904946298</v>
      </c>
      <c r="M100" s="184">
        <f>'Pseudo-load coefficients'!M289</f>
        <v>1.5762072904946298</v>
      </c>
      <c r="N100" s="184">
        <f>'Pseudo-load coefficients'!N289</f>
        <v>1.3864961741440753</v>
      </c>
      <c r="O100" s="184">
        <f>'Pseudo-load coefficients'!O289</f>
        <v>1.1787435426587205</v>
      </c>
      <c r="P100" s="184">
        <f>'Pseudo-load coefficients'!P289</f>
        <v>1.2137377075683233</v>
      </c>
      <c r="Q100" s="184">
        <f>'Pseudo-load coefficients'!Q289</f>
        <v>1.2448988455514018</v>
      </c>
      <c r="R100" s="184">
        <f>'Pseudo-load coefficients'!R289</f>
        <v>1.1696008312719401</v>
      </c>
      <c r="S100" s="184">
        <f>'Pseudo-load coefficients'!S289</f>
        <v>1.1696008312719401</v>
      </c>
      <c r="T100" s="184">
        <f>'Pseudo-load coefficients'!T289</f>
        <v>1.1696008312719401</v>
      </c>
      <c r="U100" s="184">
        <f>'Pseudo-load coefficients'!U289</f>
        <v>1.1696008312719401</v>
      </c>
      <c r="V100" s="184">
        <f>'Pseudo-load coefficients'!V289</f>
        <v>1.1696008312719401</v>
      </c>
      <c r="W100" s="184">
        <f>'Pseudo-load coefficients'!W289</f>
        <v>1.1696008312719401</v>
      </c>
      <c r="X100" s="184">
        <f>'Pseudo-load coefficients'!X289</f>
        <v>1.1696008312719401</v>
      </c>
      <c r="Y100" s="184">
        <f>'Pseudo-load coefficients'!Y289</f>
        <v>1.1696008312719401</v>
      </c>
    </row>
    <row r="101" spans="3:25" x14ac:dyDescent="0.35">
      <c r="E101" s="27"/>
      <c r="F101" s="181" t="s">
        <v>198</v>
      </c>
      <c r="G101" s="23" t="s">
        <v>283</v>
      </c>
      <c r="J101" s="184">
        <f>'Pseudo-load coefficients'!J290</f>
        <v>1.6850345048359763</v>
      </c>
      <c r="K101" s="184">
        <f>'Pseudo-load coefficients'!K290</f>
        <v>1.6850345048359763</v>
      </c>
      <c r="L101" s="184">
        <f>'Pseudo-load coefficients'!L290</f>
        <v>1.5762072904946298</v>
      </c>
      <c r="M101" s="184">
        <f>'Pseudo-load coefficients'!M290</f>
        <v>1.5762072904946298</v>
      </c>
      <c r="N101" s="184">
        <f>'Pseudo-load coefficients'!N290</f>
        <v>1.3864961741440753</v>
      </c>
      <c r="O101" s="184">
        <f>'Pseudo-load coefficients'!O290</f>
        <v>1.1787435426587205</v>
      </c>
      <c r="P101" s="184">
        <f>'Pseudo-load coefficients'!P290</f>
        <v>1.2137377075683233</v>
      </c>
      <c r="Q101" s="184">
        <f>'Pseudo-load coefficients'!Q290</f>
        <v>1.2448988455514018</v>
      </c>
      <c r="R101" s="184">
        <f>'Pseudo-load coefficients'!R290</f>
        <v>1.1696008312719401</v>
      </c>
      <c r="S101" s="184">
        <f>'Pseudo-load coefficients'!S290</f>
        <v>1.1696008312719401</v>
      </c>
      <c r="T101" s="184">
        <f>'Pseudo-load coefficients'!T290</f>
        <v>1.1696008312719401</v>
      </c>
      <c r="U101" s="184">
        <f>'Pseudo-load coefficients'!U290</f>
        <v>1.1696008312719401</v>
      </c>
      <c r="V101" s="184">
        <f>'Pseudo-load coefficients'!V290</f>
        <v>1.1696008312719401</v>
      </c>
      <c r="W101" s="184">
        <f>'Pseudo-load coefficients'!W290</f>
        <v>1.1696008312719401</v>
      </c>
      <c r="X101" s="184">
        <f>'Pseudo-load coefficients'!X290</f>
        <v>1.1696008312719401</v>
      </c>
      <c r="Y101" s="184">
        <f>'Pseudo-load coefficients'!Y290</f>
        <v>1.1696008312719401</v>
      </c>
    </row>
    <row r="102" spans="3:25" x14ac:dyDescent="0.35">
      <c r="E102" s="27"/>
      <c r="F102" s="182" t="s">
        <v>199</v>
      </c>
      <c r="G102" s="57" t="s">
        <v>283</v>
      </c>
      <c r="H102" s="28"/>
      <c r="I102" s="28"/>
      <c r="J102" s="185">
        <f>'Pseudo-load coefficients'!J291</f>
        <v>1.6850345048359763</v>
      </c>
      <c r="K102" s="185">
        <f>'Pseudo-load coefficients'!K291</f>
        <v>1.6850345048359763</v>
      </c>
      <c r="L102" s="185">
        <f>'Pseudo-load coefficients'!L291</f>
        <v>1.5762072904946298</v>
      </c>
      <c r="M102" s="185">
        <f>'Pseudo-load coefficients'!M291</f>
        <v>1.5762072904946298</v>
      </c>
      <c r="N102" s="185">
        <f>'Pseudo-load coefficients'!N291</f>
        <v>1.3864961741440753</v>
      </c>
      <c r="O102" s="185">
        <f>'Pseudo-load coefficients'!O291</f>
        <v>1.1787435426587205</v>
      </c>
      <c r="P102" s="185">
        <f>'Pseudo-load coefficients'!P291</f>
        <v>1.2137377075683233</v>
      </c>
      <c r="Q102" s="185">
        <f>'Pseudo-load coefficients'!Q291</f>
        <v>1.2448988455514018</v>
      </c>
      <c r="R102" s="185">
        <f>'Pseudo-load coefficients'!R291</f>
        <v>1.1696008312719401</v>
      </c>
      <c r="S102" s="185">
        <f>'Pseudo-load coefficients'!S291</f>
        <v>1.1696008312719401</v>
      </c>
      <c r="T102" s="185">
        <f>'Pseudo-load coefficients'!T291</f>
        <v>1.1696008312719401</v>
      </c>
      <c r="U102" s="185">
        <f>'Pseudo-load coefficients'!U291</f>
        <v>1.1696008312719401</v>
      </c>
      <c r="V102" s="185">
        <f>'Pseudo-load coefficients'!V291</f>
        <v>1.1696008312719401</v>
      </c>
      <c r="W102" s="185">
        <f>'Pseudo-load coefficients'!W291</f>
        <v>1.1696008312719401</v>
      </c>
      <c r="X102" s="185">
        <f>'Pseudo-load coefficients'!X291</f>
        <v>1.1696008312719401</v>
      </c>
      <c r="Y102" s="185">
        <f>'Pseudo-load coefficients'!Y291</f>
        <v>1.1696008312719401</v>
      </c>
    </row>
    <row r="103" spans="3:25" x14ac:dyDescent="0.35">
      <c r="E103" s="27"/>
      <c r="J103" s="153"/>
      <c r="K103" s="153"/>
      <c r="L103" s="153"/>
      <c r="M103" s="153"/>
      <c r="N103" s="153"/>
      <c r="O103" s="153"/>
      <c r="P103" s="153"/>
      <c r="Q103" s="153"/>
      <c r="R103" s="153"/>
      <c r="S103" s="153"/>
      <c r="T103" s="153"/>
      <c r="U103" s="153"/>
      <c r="V103" s="153"/>
      <c r="W103" s="153"/>
      <c r="X103" s="153"/>
      <c r="Y103" s="153"/>
    </row>
    <row r="104" spans="3:25" x14ac:dyDescent="0.35">
      <c r="E104" s="27" t="s">
        <v>512</v>
      </c>
      <c r="J104" s="153"/>
      <c r="K104" s="153"/>
      <c r="L104" s="153"/>
      <c r="M104" s="153"/>
      <c r="N104" s="153"/>
      <c r="O104" s="153"/>
      <c r="P104" s="153"/>
      <c r="Q104" s="153"/>
      <c r="R104" s="153"/>
      <c r="S104" s="153"/>
      <c r="T104" s="153"/>
      <c r="U104" s="153"/>
      <c r="V104" s="153"/>
      <c r="W104" s="153"/>
      <c r="X104" s="153"/>
      <c r="Y104" s="153"/>
    </row>
    <row r="105" spans="3:25" x14ac:dyDescent="0.35">
      <c r="C105" s="27"/>
      <c r="E105" s="27"/>
      <c r="F105" s="180" t="s">
        <v>189</v>
      </c>
      <c r="G105" s="54" t="s">
        <v>283</v>
      </c>
      <c r="H105" s="19"/>
      <c r="I105" s="19"/>
      <c r="J105" s="403">
        <f>'Pseudo-load coefficients'!J294</f>
        <v>0</v>
      </c>
      <c r="K105" s="403">
        <f>'Pseudo-load coefficients'!K294</f>
        <v>0</v>
      </c>
      <c r="L105" s="403">
        <f>'Pseudo-load coefficients'!L294</f>
        <v>0</v>
      </c>
      <c r="M105" s="403">
        <f>'Pseudo-load coefficients'!M294</f>
        <v>0</v>
      </c>
      <c r="N105" s="403">
        <f>'Pseudo-load coefficients'!N294</f>
        <v>0</v>
      </c>
      <c r="O105" s="403">
        <f>'Pseudo-load coefficients'!O294</f>
        <v>0</v>
      </c>
      <c r="P105" s="403">
        <f>'Pseudo-load coefficients'!P294</f>
        <v>0</v>
      </c>
      <c r="Q105" s="403">
        <f>'Pseudo-load coefficients'!Q294</f>
        <v>0</v>
      </c>
      <c r="R105" s="403">
        <f>'Pseudo-load coefficients'!R294</f>
        <v>0</v>
      </c>
      <c r="S105" s="403">
        <f>'Pseudo-load coefficients'!S294</f>
        <v>0</v>
      </c>
      <c r="T105" s="403">
        <f>'Pseudo-load coefficients'!T294</f>
        <v>0</v>
      </c>
      <c r="U105" s="403">
        <f>'Pseudo-load coefficients'!U294</f>
        <v>0</v>
      </c>
      <c r="V105" s="403">
        <f>'Pseudo-load coefficients'!V294</f>
        <v>0</v>
      </c>
      <c r="W105" s="403">
        <f>'Pseudo-load coefficients'!W294</f>
        <v>0</v>
      </c>
      <c r="X105" s="403">
        <f>'Pseudo-load coefficients'!X294</f>
        <v>0</v>
      </c>
      <c r="Y105" s="403">
        <f>'Pseudo-load coefficients'!Y294</f>
        <v>0</v>
      </c>
    </row>
    <row r="106" spans="3:25" x14ac:dyDescent="0.35">
      <c r="C106" s="27"/>
      <c r="E106" s="27"/>
      <c r="F106" s="181" t="s">
        <v>191</v>
      </c>
      <c r="G106" s="23" t="s">
        <v>283</v>
      </c>
      <c r="J106" s="184">
        <f>'Pseudo-load coefficients'!J294</f>
        <v>0</v>
      </c>
      <c r="K106" s="184">
        <f>'Pseudo-load coefficients'!K294</f>
        <v>0</v>
      </c>
      <c r="L106" s="184">
        <f>'Pseudo-load coefficients'!L294</f>
        <v>0</v>
      </c>
      <c r="M106" s="184">
        <f>'Pseudo-load coefficients'!M294</f>
        <v>0</v>
      </c>
      <c r="N106" s="184">
        <f>'Pseudo-load coefficients'!N294</f>
        <v>0</v>
      </c>
      <c r="O106" s="184">
        <f>'Pseudo-load coefficients'!O294</f>
        <v>0</v>
      </c>
      <c r="P106" s="184">
        <f>'Pseudo-load coefficients'!P294</f>
        <v>0</v>
      </c>
      <c r="Q106" s="184">
        <f>'Pseudo-load coefficients'!Q294</f>
        <v>0</v>
      </c>
      <c r="R106" s="184">
        <f>'Pseudo-load coefficients'!R294</f>
        <v>0</v>
      </c>
      <c r="S106" s="184">
        <f>'Pseudo-load coefficients'!S294</f>
        <v>0</v>
      </c>
      <c r="T106" s="184">
        <f>'Pseudo-load coefficients'!T294</f>
        <v>0</v>
      </c>
      <c r="U106" s="184">
        <f>'Pseudo-load coefficients'!U294</f>
        <v>0</v>
      </c>
      <c r="V106" s="184">
        <f>'Pseudo-load coefficients'!V294</f>
        <v>0</v>
      </c>
      <c r="W106" s="184">
        <f>'Pseudo-load coefficients'!W294</f>
        <v>0</v>
      </c>
      <c r="X106" s="184">
        <f>'Pseudo-load coefficients'!X294</f>
        <v>0</v>
      </c>
      <c r="Y106" s="184">
        <f>'Pseudo-load coefficients'!Y294</f>
        <v>0</v>
      </c>
    </row>
    <row r="107" spans="3:25" x14ac:dyDescent="0.35">
      <c r="C107" s="27"/>
      <c r="E107" s="27"/>
      <c r="F107" s="181" t="s">
        <v>192</v>
      </c>
      <c r="G107" s="23" t="s">
        <v>283</v>
      </c>
      <c r="J107" s="184">
        <f>'Pseudo-load coefficients'!J295</f>
        <v>3.2341279594959714E-2</v>
      </c>
      <c r="K107" s="184">
        <f>'Pseudo-load coefficients'!K295</f>
        <v>3.2341279594959714E-2</v>
      </c>
      <c r="L107" s="184">
        <f>'Pseudo-load coefficients'!L295</f>
        <v>3.0252532239072958E-2</v>
      </c>
      <c r="M107" s="184">
        <f>'Pseudo-load coefficients'!M295</f>
        <v>3.0252532239072958E-2</v>
      </c>
      <c r="N107" s="184">
        <f>'Pseudo-load coefficients'!N295</f>
        <v>2.6611360358879052E-2</v>
      </c>
      <c r="O107" s="184">
        <f>'Pseudo-load coefficients'!O295</f>
        <v>2.262391326377608E-2</v>
      </c>
      <c r="P107" s="184">
        <f>'Pseudo-load coefficients'!P295</f>
        <v>2.3295564834284278E-2</v>
      </c>
      <c r="Q107" s="184">
        <f>'Pseudo-load coefficients'!Q295</f>
        <v>2.5067107498503841E-2</v>
      </c>
      <c r="R107" s="184">
        <f>'Pseudo-load coefficients'!R295</f>
        <v>2.2448434966822944E-2</v>
      </c>
      <c r="S107" s="184">
        <f>'Pseudo-load coefficients'!S295</f>
        <v>2.2448434966822944E-2</v>
      </c>
      <c r="T107" s="184">
        <f>'Pseudo-load coefficients'!T295</f>
        <v>2.2448434966822944E-2</v>
      </c>
      <c r="U107" s="184">
        <f>'Pseudo-load coefficients'!U295</f>
        <v>2.2448434966822944E-2</v>
      </c>
      <c r="V107" s="184">
        <f>'Pseudo-load coefficients'!V295</f>
        <v>2.2448434966822944E-2</v>
      </c>
      <c r="W107" s="184">
        <f>'Pseudo-load coefficients'!W295</f>
        <v>2.2448434966822944E-2</v>
      </c>
      <c r="X107" s="184">
        <f>'Pseudo-load coefficients'!X295</f>
        <v>2.2448434966822944E-2</v>
      </c>
      <c r="Y107" s="184">
        <f>'Pseudo-load coefficients'!Y295</f>
        <v>2.2448434966822944E-2</v>
      </c>
    </row>
    <row r="108" spans="3:25" x14ac:dyDescent="0.35">
      <c r="C108" s="27"/>
      <c r="E108" s="27"/>
      <c r="F108" s="181" t="s">
        <v>193</v>
      </c>
      <c r="G108" s="23" t="s">
        <v>283</v>
      </c>
      <c r="J108" s="184">
        <f>'Pseudo-load coefficients'!J296</f>
        <v>3.2341279594959714E-2</v>
      </c>
      <c r="K108" s="184">
        <f>'Pseudo-load coefficients'!K296</f>
        <v>3.2341279594959714E-2</v>
      </c>
      <c r="L108" s="184">
        <f>'Pseudo-load coefficients'!L296</f>
        <v>3.0252532239072958E-2</v>
      </c>
      <c r="M108" s="184">
        <f>'Pseudo-load coefficients'!M296</f>
        <v>3.0252532239072958E-2</v>
      </c>
      <c r="N108" s="184">
        <f>'Pseudo-load coefficients'!N296</f>
        <v>2.6611360358879052E-2</v>
      </c>
      <c r="O108" s="184">
        <f>'Pseudo-load coefficients'!O296</f>
        <v>2.262391326377608E-2</v>
      </c>
      <c r="P108" s="184">
        <f>'Pseudo-load coefficients'!P296</f>
        <v>2.3295564834284278E-2</v>
      </c>
      <c r="Q108" s="184">
        <f>'Pseudo-load coefficients'!Q296</f>
        <v>2.5067107498503841E-2</v>
      </c>
      <c r="R108" s="184">
        <f>'Pseudo-load coefficients'!R296</f>
        <v>2.2448434966822944E-2</v>
      </c>
      <c r="S108" s="184">
        <f>'Pseudo-load coefficients'!S296</f>
        <v>2.2448434966822944E-2</v>
      </c>
      <c r="T108" s="184">
        <f>'Pseudo-load coefficients'!T296</f>
        <v>2.2448434966822944E-2</v>
      </c>
      <c r="U108" s="184">
        <f>'Pseudo-load coefficients'!U296</f>
        <v>2.2448434966822944E-2</v>
      </c>
      <c r="V108" s="184">
        <f>'Pseudo-load coefficients'!V296</f>
        <v>2.2448434966822944E-2</v>
      </c>
      <c r="W108" s="184">
        <f>'Pseudo-load coefficients'!W296</f>
        <v>2.2448434966822944E-2</v>
      </c>
      <c r="X108" s="184">
        <f>'Pseudo-load coefficients'!X296</f>
        <v>2.2448434966822944E-2</v>
      </c>
      <c r="Y108" s="184">
        <f>'Pseudo-load coefficients'!Y296</f>
        <v>2.2448434966822944E-2</v>
      </c>
    </row>
    <row r="109" spans="3:25" x14ac:dyDescent="0.35">
      <c r="C109" s="27"/>
      <c r="E109" s="27"/>
      <c r="F109" s="181" t="s">
        <v>194</v>
      </c>
      <c r="G109" s="23" t="s">
        <v>283</v>
      </c>
      <c r="J109" s="184">
        <f>'Pseudo-load coefficients'!J297</f>
        <v>4.9367511387570485E-2</v>
      </c>
      <c r="K109" s="184">
        <f>'Pseudo-load coefficients'!K297</f>
        <v>4.9367511387570485E-2</v>
      </c>
      <c r="L109" s="184">
        <f>'Pseudo-load coefficients'!L297</f>
        <v>4.6179132320046903E-2</v>
      </c>
      <c r="M109" s="184">
        <f>'Pseudo-load coefficients'!M297</f>
        <v>4.6179132320046903E-2</v>
      </c>
      <c r="N109" s="184">
        <f>'Pseudo-load coefficients'!N297</f>
        <v>4.0621046909982042E-2</v>
      </c>
      <c r="O109" s="184">
        <f>'Pseudo-load coefficients'!O297</f>
        <v>3.4534387929874483E-2</v>
      </c>
      <c r="P109" s="184">
        <f>'Pseudo-load coefficients'!P297</f>
        <v>3.5559633899446781E-2</v>
      </c>
      <c r="Q109" s="184">
        <f>'Pseudo-load coefficients'!Q297</f>
        <v>3.8263814245578044E-2</v>
      </c>
      <c r="R109" s="184">
        <f>'Pseudo-load coefficients'!R297</f>
        <v>3.4266528187415331E-2</v>
      </c>
      <c r="S109" s="184">
        <f>'Pseudo-load coefficients'!S297</f>
        <v>3.4266528187415331E-2</v>
      </c>
      <c r="T109" s="184">
        <f>'Pseudo-load coefficients'!T297</f>
        <v>3.4266528187415331E-2</v>
      </c>
      <c r="U109" s="184">
        <f>'Pseudo-load coefficients'!U297</f>
        <v>3.4266528187415331E-2</v>
      </c>
      <c r="V109" s="184">
        <f>'Pseudo-load coefficients'!V297</f>
        <v>3.4266528187415331E-2</v>
      </c>
      <c r="W109" s="184">
        <f>'Pseudo-load coefficients'!W297</f>
        <v>3.4266528187415331E-2</v>
      </c>
      <c r="X109" s="184">
        <f>'Pseudo-load coefficients'!X297</f>
        <v>3.4266528187415331E-2</v>
      </c>
      <c r="Y109" s="184">
        <f>'Pseudo-load coefficients'!Y297</f>
        <v>3.4266528187415331E-2</v>
      </c>
    </row>
    <row r="110" spans="3:25" x14ac:dyDescent="0.35">
      <c r="C110" s="27"/>
      <c r="E110" s="27"/>
      <c r="F110" s="181" t="s">
        <v>195</v>
      </c>
      <c r="G110" s="23" t="s">
        <v>283</v>
      </c>
      <c r="J110" s="184">
        <f>'Pseudo-load coefficients'!J298</f>
        <v>4.9367511387570485E-2</v>
      </c>
      <c r="K110" s="184">
        <f>'Pseudo-load coefficients'!K298</f>
        <v>4.9367511387570485E-2</v>
      </c>
      <c r="L110" s="184">
        <f>'Pseudo-load coefficients'!L298</f>
        <v>4.6179132320046903E-2</v>
      </c>
      <c r="M110" s="184">
        <f>'Pseudo-load coefficients'!M298</f>
        <v>4.6179132320046903E-2</v>
      </c>
      <c r="N110" s="184">
        <f>'Pseudo-load coefficients'!N298</f>
        <v>4.0621046909982042E-2</v>
      </c>
      <c r="O110" s="184">
        <f>'Pseudo-load coefficients'!O298</f>
        <v>3.4534387929874483E-2</v>
      </c>
      <c r="P110" s="184">
        <f>'Pseudo-load coefficients'!P298</f>
        <v>3.5559633899446781E-2</v>
      </c>
      <c r="Q110" s="184">
        <f>'Pseudo-load coefficients'!Q298</f>
        <v>3.8263814245578044E-2</v>
      </c>
      <c r="R110" s="184">
        <f>'Pseudo-load coefficients'!R298</f>
        <v>3.4266528187415331E-2</v>
      </c>
      <c r="S110" s="184">
        <f>'Pseudo-load coefficients'!S298</f>
        <v>3.4266528187415331E-2</v>
      </c>
      <c r="T110" s="184">
        <f>'Pseudo-load coefficients'!T298</f>
        <v>3.4266528187415331E-2</v>
      </c>
      <c r="U110" s="184">
        <f>'Pseudo-load coefficients'!U298</f>
        <v>3.4266528187415331E-2</v>
      </c>
      <c r="V110" s="184">
        <f>'Pseudo-load coefficients'!V298</f>
        <v>3.4266528187415331E-2</v>
      </c>
      <c r="W110" s="184">
        <f>'Pseudo-load coefficients'!W298</f>
        <v>3.4266528187415331E-2</v>
      </c>
      <c r="X110" s="184">
        <f>'Pseudo-load coefficients'!X298</f>
        <v>3.4266528187415331E-2</v>
      </c>
      <c r="Y110" s="184">
        <f>'Pseudo-load coefficients'!Y298</f>
        <v>3.4266528187415331E-2</v>
      </c>
    </row>
    <row r="111" spans="3:25" x14ac:dyDescent="0.35">
      <c r="C111" s="27"/>
      <c r="E111" s="27"/>
      <c r="F111" s="181" t="s">
        <v>196</v>
      </c>
      <c r="G111" s="23" t="s">
        <v>283</v>
      </c>
      <c r="J111" s="184">
        <f>'Pseudo-load coefficients'!J299</f>
        <v>0</v>
      </c>
      <c r="K111" s="184">
        <f>'Pseudo-load coefficients'!K299</f>
        <v>0</v>
      </c>
      <c r="L111" s="184">
        <f>'Pseudo-load coefficients'!L299</f>
        <v>0</v>
      </c>
      <c r="M111" s="184">
        <f>'Pseudo-load coefficients'!M299</f>
        <v>0</v>
      </c>
      <c r="N111" s="184">
        <f>'Pseudo-load coefficients'!N299</f>
        <v>0</v>
      </c>
      <c r="O111" s="184">
        <f>'Pseudo-load coefficients'!O299</f>
        <v>0</v>
      </c>
      <c r="P111" s="184">
        <f>'Pseudo-load coefficients'!P299</f>
        <v>0</v>
      </c>
      <c r="Q111" s="184">
        <f>'Pseudo-load coefficients'!Q299</f>
        <v>0</v>
      </c>
      <c r="R111" s="184">
        <f>'Pseudo-load coefficients'!R299</f>
        <v>0</v>
      </c>
      <c r="S111" s="184">
        <f>'Pseudo-load coefficients'!S299</f>
        <v>0</v>
      </c>
      <c r="T111" s="184">
        <f>'Pseudo-load coefficients'!T299</f>
        <v>0</v>
      </c>
      <c r="U111" s="184">
        <f>'Pseudo-load coefficients'!U299</f>
        <v>0</v>
      </c>
      <c r="V111" s="184">
        <f>'Pseudo-load coefficients'!V299</f>
        <v>0</v>
      </c>
      <c r="W111" s="184">
        <f>'Pseudo-load coefficients'!W299</f>
        <v>0</v>
      </c>
      <c r="X111" s="184">
        <f>'Pseudo-load coefficients'!X299</f>
        <v>0</v>
      </c>
      <c r="Y111" s="184">
        <f>'Pseudo-load coefficients'!Y299</f>
        <v>0</v>
      </c>
    </row>
    <row r="112" spans="3:25" x14ac:dyDescent="0.35">
      <c r="C112" s="27"/>
      <c r="E112" s="27"/>
      <c r="F112" s="181" t="s">
        <v>197</v>
      </c>
      <c r="G112" s="23" t="s">
        <v>283</v>
      </c>
      <c r="J112" s="184">
        <f>'Pseudo-load coefficients'!J300</f>
        <v>8.5534435523114238E-2</v>
      </c>
      <c r="K112" s="184">
        <f>'Pseudo-load coefficients'!K300</f>
        <v>8.5534435523114238E-2</v>
      </c>
      <c r="L112" s="184">
        <f>'Pseudo-load coefficients'!L300</f>
        <v>8.0010231525198997E-2</v>
      </c>
      <c r="M112" s="184">
        <f>'Pseudo-load coefficients'!M300</f>
        <v>8.0010231525198997E-2</v>
      </c>
      <c r="N112" s="184">
        <f>'Pseudo-load coefficients'!N300</f>
        <v>7.038026062375205E-2</v>
      </c>
      <c r="O112" s="184">
        <f>'Pseudo-load coefficients'!O300</f>
        <v>5.9834480100242143E-2</v>
      </c>
      <c r="P112" s="184">
        <f>'Pseudo-load coefficients'!P300</f>
        <v>6.1610827191981375E-2</v>
      </c>
      <c r="Q112" s="184">
        <f>'Pseudo-load coefficients'!Q300</f>
        <v>6.62961056870459E-2</v>
      </c>
      <c r="R112" s="184">
        <f>'Pseudo-load coefficients'!R300</f>
        <v>5.9370384762505939E-2</v>
      </c>
      <c r="S112" s="184">
        <f>'Pseudo-load coefficients'!S300</f>
        <v>5.9370384762505939E-2</v>
      </c>
      <c r="T112" s="184">
        <f>'Pseudo-load coefficients'!T300</f>
        <v>5.9370384762505939E-2</v>
      </c>
      <c r="U112" s="184">
        <f>'Pseudo-load coefficients'!U300</f>
        <v>5.9370384762505939E-2</v>
      </c>
      <c r="V112" s="184">
        <f>'Pseudo-load coefficients'!V300</f>
        <v>5.9370384762505939E-2</v>
      </c>
      <c r="W112" s="184">
        <f>'Pseudo-load coefficients'!W300</f>
        <v>5.9370384762505939E-2</v>
      </c>
      <c r="X112" s="184">
        <f>'Pseudo-load coefficients'!X300</f>
        <v>5.9370384762505939E-2</v>
      </c>
      <c r="Y112" s="184">
        <f>'Pseudo-load coefficients'!Y300</f>
        <v>5.9370384762505939E-2</v>
      </c>
    </row>
    <row r="113" spans="2:27" x14ac:dyDescent="0.35">
      <c r="C113" s="27"/>
      <c r="E113" s="27"/>
      <c r="F113" s="181" t="s">
        <v>198</v>
      </c>
      <c r="G113" s="23" t="s">
        <v>283</v>
      </c>
      <c r="J113" s="184">
        <f>'Pseudo-load coefficients'!J301</f>
        <v>8.5534435523114238E-2</v>
      </c>
      <c r="K113" s="184">
        <f>'Pseudo-load coefficients'!K301</f>
        <v>8.5534435523114238E-2</v>
      </c>
      <c r="L113" s="184">
        <f>'Pseudo-load coefficients'!L301</f>
        <v>8.0010231525198997E-2</v>
      </c>
      <c r="M113" s="184">
        <f>'Pseudo-load coefficients'!M301</f>
        <v>8.0010231525198997E-2</v>
      </c>
      <c r="N113" s="184">
        <f>'Pseudo-load coefficients'!N301</f>
        <v>7.038026062375205E-2</v>
      </c>
      <c r="O113" s="184">
        <f>'Pseudo-load coefficients'!O301</f>
        <v>5.9834480100242143E-2</v>
      </c>
      <c r="P113" s="184">
        <f>'Pseudo-load coefficients'!P301</f>
        <v>6.1610827191981375E-2</v>
      </c>
      <c r="Q113" s="184">
        <f>'Pseudo-load coefficients'!Q301</f>
        <v>6.62961056870459E-2</v>
      </c>
      <c r="R113" s="184">
        <f>'Pseudo-load coefficients'!R301</f>
        <v>5.9370384762505939E-2</v>
      </c>
      <c r="S113" s="184">
        <f>'Pseudo-load coefficients'!S301</f>
        <v>5.9370384762505939E-2</v>
      </c>
      <c r="T113" s="184">
        <f>'Pseudo-load coefficients'!T301</f>
        <v>5.9370384762505939E-2</v>
      </c>
      <c r="U113" s="184">
        <f>'Pseudo-load coefficients'!U301</f>
        <v>5.9370384762505939E-2</v>
      </c>
      <c r="V113" s="184">
        <f>'Pseudo-load coefficients'!V301</f>
        <v>5.9370384762505939E-2</v>
      </c>
      <c r="W113" s="184">
        <f>'Pseudo-load coefficients'!W301</f>
        <v>5.9370384762505939E-2</v>
      </c>
      <c r="X113" s="184">
        <f>'Pseudo-load coefficients'!X301</f>
        <v>5.9370384762505939E-2</v>
      </c>
      <c r="Y113" s="184">
        <f>'Pseudo-load coefficients'!Y301</f>
        <v>5.9370384762505939E-2</v>
      </c>
    </row>
    <row r="114" spans="2:27" x14ac:dyDescent="0.35">
      <c r="C114" s="27"/>
      <c r="E114" s="27"/>
      <c r="F114" s="182" t="s">
        <v>199</v>
      </c>
      <c r="G114" s="57" t="s">
        <v>283</v>
      </c>
      <c r="H114" s="28"/>
      <c r="I114" s="28"/>
      <c r="J114" s="185">
        <f>'Pseudo-load coefficients'!J302</f>
        <v>8.5534435523114238E-2</v>
      </c>
      <c r="K114" s="185">
        <f>'Pseudo-load coefficients'!K302</f>
        <v>8.5534435523114238E-2</v>
      </c>
      <c r="L114" s="185">
        <f>'Pseudo-load coefficients'!L302</f>
        <v>8.0010231525198997E-2</v>
      </c>
      <c r="M114" s="185">
        <f>'Pseudo-load coefficients'!M302</f>
        <v>8.0010231525198997E-2</v>
      </c>
      <c r="N114" s="185">
        <f>'Pseudo-load coefficients'!N302</f>
        <v>7.038026062375205E-2</v>
      </c>
      <c r="O114" s="185">
        <f>'Pseudo-load coefficients'!O302</f>
        <v>5.9834480100242143E-2</v>
      </c>
      <c r="P114" s="185">
        <f>'Pseudo-load coefficients'!P302</f>
        <v>6.1610827191981375E-2</v>
      </c>
      <c r="Q114" s="185">
        <f>'Pseudo-load coefficients'!Q302</f>
        <v>6.62961056870459E-2</v>
      </c>
      <c r="R114" s="185">
        <f>'Pseudo-load coefficients'!R302</f>
        <v>5.9370384762505939E-2</v>
      </c>
      <c r="S114" s="185">
        <f>'Pseudo-load coefficients'!S302</f>
        <v>5.9370384762505939E-2</v>
      </c>
      <c r="T114" s="185">
        <f>'Pseudo-load coefficients'!T302</f>
        <v>5.9370384762505939E-2</v>
      </c>
      <c r="U114" s="185">
        <f>'Pseudo-load coefficients'!U302</f>
        <v>5.9370384762505939E-2</v>
      </c>
      <c r="V114" s="185">
        <f>'Pseudo-load coefficients'!V302</f>
        <v>5.9370384762505939E-2</v>
      </c>
      <c r="W114" s="185">
        <f>'Pseudo-load coefficients'!W302</f>
        <v>5.9370384762505939E-2</v>
      </c>
      <c r="X114" s="185">
        <f>'Pseudo-load coefficients'!X302</f>
        <v>5.9370384762505939E-2</v>
      </c>
      <c r="Y114" s="185">
        <f>'Pseudo-load coefficients'!Y302</f>
        <v>5.9370384762505939E-2</v>
      </c>
    </row>
    <row r="115" spans="2:27" x14ac:dyDescent="0.35">
      <c r="C115" s="27"/>
      <c r="D115" s="27"/>
      <c r="E115" s="27"/>
      <c r="J115" s="153"/>
      <c r="K115" s="153"/>
      <c r="L115" s="153"/>
      <c r="M115" s="153"/>
      <c r="N115" s="153"/>
      <c r="O115" s="153"/>
      <c r="P115" s="153"/>
      <c r="Q115" s="153"/>
      <c r="R115" s="153"/>
      <c r="S115" s="153"/>
      <c r="T115" s="153"/>
      <c r="U115" s="153"/>
      <c r="V115" s="153"/>
      <c r="W115" s="153"/>
      <c r="X115" s="153"/>
      <c r="Y115" s="153"/>
    </row>
    <row r="116" spans="2:27" x14ac:dyDescent="0.35">
      <c r="B116" s="25" t="s">
        <v>618</v>
      </c>
      <c r="C116" s="25"/>
      <c r="D116" s="25"/>
      <c r="E116" s="25"/>
      <c r="F116" s="25"/>
      <c r="G116" s="25"/>
      <c r="H116" s="25"/>
      <c r="I116" s="25"/>
      <c r="J116" s="174"/>
      <c r="K116" s="174"/>
      <c r="L116" s="174"/>
      <c r="M116" s="174"/>
      <c r="N116" s="174"/>
      <c r="O116" s="174"/>
      <c r="P116" s="174"/>
      <c r="Q116" s="174"/>
      <c r="R116" s="174"/>
      <c r="S116" s="174"/>
      <c r="T116" s="174"/>
      <c r="U116" s="174"/>
      <c r="V116" s="174"/>
      <c r="W116" s="174"/>
      <c r="X116" s="174"/>
      <c r="Y116" s="174"/>
      <c r="Z116" s="25"/>
      <c r="AA116" s="25"/>
    </row>
    <row r="117" spans="2:27" x14ac:dyDescent="0.35">
      <c r="J117" s="79"/>
      <c r="K117" s="79"/>
      <c r="L117" s="79"/>
      <c r="M117" s="79"/>
      <c r="N117" s="79"/>
      <c r="O117" s="79"/>
      <c r="P117" s="79"/>
      <c r="Q117" s="79"/>
      <c r="R117" s="79"/>
      <c r="S117" s="79"/>
      <c r="T117" s="79"/>
      <c r="U117" s="79"/>
      <c r="V117" s="79"/>
      <c r="W117" s="79"/>
      <c r="X117" s="79"/>
      <c r="Y117" s="79"/>
    </row>
    <row r="118" spans="2:27" x14ac:dyDescent="0.35">
      <c r="C118" s="26" t="str">
        <f ca="1">INDEX('Version control'!$H$38:$H$61,MATCH($A$1,'Version control'!$F$38:$F$61,0),1)&amp;"-B: Yardstick charges"</f>
        <v>Section 109-B: Yardstick charges</v>
      </c>
      <c r="D118" s="26"/>
      <c r="E118" s="26"/>
      <c r="F118" s="26"/>
      <c r="G118" s="26"/>
      <c r="H118" s="26"/>
      <c r="I118" s="26"/>
      <c r="J118" s="188"/>
      <c r="K118" s="188"/>
      <c r="L118" s="188"/>
      <c r="M118" s="188"/>
      <c r="N118" s="188"/>
      <c r="O118" s="188"/>
      <c r="P118" s="188"/>
      <c r="Q118" s="188"/>
      <c r="R118" s="188"/>
      <c r="S118" s="188"/>
      <c r="T118" s="188"/>
      <c r="U118" s="188"/>
      <c r="V118" s="188"/>
      <c r="W118" s="188"/>
      <c r="X118" s="188"/>
      <c r="Y118" s="188"/>
      <c r="Z118" s="26"/>
      <c r="AA118" s="26"/>
    </row>
    <row r="119" spans="2:27" x14ac:dyDescent="0.35">
      <c r="C119" s="27"/>
      <c r="D119" s="27"/>
      <c r="E119" s="27"/>
      <c r="J119" s="79"/>
      <c r="K119" s="79"/>
      <c r="L119" s="79"/>
      <c r="M119" s="79"/>
      <c r="N119" s="79"/>
      <c r="O119" s="79"/>
      <c r="P119" s="79"/>
      <c r="Q119" s="79"/>
      <c r="R119" s="79"/>
      <c r="S119" s="79"/>
      <c r="T119" s="79"/>
      <c r="U119" s="79"/>
      <c r="V119" s="79"/>
      <c r="W119" s="79"/>
      <c r="X119" s="79"/>
      <c r="Y119" s="79"/>
    </row>
    <row r="120" spans="2:27" x14ac:dyDescent="0.35">
      <c r="D120" s="24" t="s">
        <v>619</v>
      </c>
      <c r="E120" s="27"/>
      <c r="F120" s="27"/>
      <c r="J120" s="153"/>
      <c r="K120" s="153"/>
      <c r="L120" s="153"/>
      <c r="M120" s="153"/>
      <c r="N120" s="153"/>
      <c r="O120" s="153"/>
      <c r="P120" s="153"/>
      <c r="Q120" s="153"/>
      <c r="R120" s="153"/>
      <c r="S120" s="153"/>
      <c r="T120" s="153"/>
      <c r="U120" s="153"/>
      <c r="V120" s="153"/>
      <c r="W120" s="153"/>
      <c r="X120" s="153"/>
      <c r="Y120" s="153"/>
    </row>
    <row r="121" spans="2:27" x14ac:dyDescent="0.35">
      <c r="D121" s="27"/>
      <c r="E121" s="27"/>
      <c r="F121" s="27"/>
      <c r="I121" s="3" t="s">
        <v>154</v>
      </c>
      <c r="J121" s="153"/>
      <c r="K121" s="153"/>
      <c r="L121" s="153"/>
      <c r="M121" s="153"/>
      <c r="N121" s="153"/>
      <c r="O121" s="153"/>
      <c r="P121" s="153"/>
      <c r="Q121" s="153"/>
      <c r="R121" s="153"/>
      <c r="S121" s="153"/>
      <c r="T121" s="153"/>
      <c r="U121" s="153"/>
      <c r="V121" s="153"/>
      <c r="W121" s="153"/>
      <c r="X121" s="153"/>
      <c r="Y121" s="153"/>
      <c r="AA121" t="s">
        <v>614</v>
      </c>
    </row>
    <row r="122" spans="2:27" x14ac:dyDescent="0.35">
      <c r="E122" s="27" t="s">
        <v>620</v>
      </c>
      <c r="J122" s="79"/>
      <c r="K122" s="79"/>
      <c r="L122" s="79"/>
      <c r="M122" s="79"/>
      <c r="N122" s="79"/>
      <c r="O122" s="79"/>
      <c r="P122" s="79"/>
      <c r="Q122" s="79"/>
      <c r="R122" s="79"/>
      <c r="S122" s="79"/>
      <c r="T122" s="79"/>
      <c r="U122" s="79"/>
      <c r="V122" s="79"/>
      <c r="W122" s="79"/>
      <c r="X122" s="79"/>
      <c r="Y122" s="79"/>
    </row>
    <row r="123" spans="2:27" x14ac:dyDescent="0.35">
      <c r="E123" s="27"/>
      <c r="F123" s="180" t="s">
        <v>189</v>
      </c>
      <c r="G123" s="19" t="s">
        <v>269</v>
      </c>
      <c r="H123" s="255"/>
      <c r="I123" s="255"/>
      <c r="J123" s="263">
        <f t="shared" ref="J123:Y123" si="0">hundred * $H18 * J55 / $H43 * J$78 * (1 - J67) / hours_in_year</f>
        <v>0</v>
      </c>
      <c r="K123" s="263">
        <f t="shared" si="0"/>
        <v>0</v>
      </c>
      <c r="L123" s="263">
        <f t="shared" si="0"/>
        <v>0</v>
      </c>
      <c r="M123" s="263">
        <f t="shared" si="0"/>
        <v>0</v>
      </c>
      <c r="N123" s="263">
        <f t="shared" si="0"/>
        <v>0</v>
      </c>
      <c r="O123" s="263">
        <f t="shared" si="0"/>
        <v>0</v>
      </c>
      <c r="P123" s="263">
        <f t="shared" si="0"/>
        <v>0</v>
      </c>
      <c r="Q123" s="263">
        <f t="shared" si="0"/>
        <v>0</v>
      </c>
      <c r="R123" s="263">
        <f t="shared" si="0"/>
        <v>0</v>
      </c>
      <c r="S123" s="263">
        <f t="shared" si="0"/>
        <v>0</v>
      </c>
      <c r="T123" s="263">
        <f t="shared" si="0"/>
        <v>0</v>
      </c>
      <c r="U123" s="263">
        <f t="shared" si="0"/>
        <v>0</v>
      </c>
      <c r="V123" s="263">
        <f t="shared" si="0"/>
        <v>0</v>
      </c>
      <c r="W123" s="263">
        <f t="shared" si="0"/>
        <v>0</v>
      </c>
      <c r="X123" s="263">
        <f t="shared" si="0"/>
        <v>0</v>
      </c>
      <c r="Y123" s="263">
        <f t="shared" si="0"/>
        <v>0</v>
      </c>
      <c r="Z123" s="256"/>
      <c r="AA123" s="256"/>
    </row>
    <row r="124" spans="2:27" x14ac:dyDescent="0.35">
      <c r="E124" s="27"/>
      <c r="F124" s="181" t="s">
        <v>191</v>
      </c>
      <c r="G124" t="s">
        <v>269</v>
      </c>
      <c r="H124" s="256"/>
      <c r="I124" s="256"/>
      <c r="J124" s="264">
        <f t="shared" ref="J124:Y124" si="1">hundred * $H19 * J56 / $H44 * J$78 * (1 - J68) / hours_in_year</f>
        <v>0</v>
      </c>
      <c r="K124" s="264">
        <f t="shared" si="1"/>
        <v>0</v>
      </c>
      <c r="L124" s="264">
        <f t="shared" si="1"/>
        <v>0</v>
      </c>
      <c r="M124" s="264">
        <f t="shared" si="1"/>
        <v>0</v>
      </c>
      <c r="N124" s="264">
        <f t="shared" si="1"/>
        <v>0</v>
      </c>
      <c r="O124" s="264">
        <f t="shared" si="1"/>
        <v>0</v>
      </c>
      <c r="P124" s="264">
        <f t="shared" si="1"/>
        <v>0</v>
      </c>
      <c r="Q124" s="264">
        <f t="shared" si="1"/>
        <v>0</v>
      </c>
      <c r="R124" s="264">
        <f t="shared" si="1"/>
        <v>0</v>
      </c>
      <c r="S124" s="264">
        <f t="shared" si="1"/>
        <v>0</v>
      </c>
      <c r="T124" s="264">
        <f t="shared" si="1"/>
        <v>0</v>
      </c>
      <c r="U124" s="264">
        <f t="shared" si="1"/>
        <v>0</v>
      </c>
      <c r="V124" s="264">
        <f t="shared" si="1"/>
        <v>0</v>
      </c>
      <c r="W124" s="264">
        <f t="shared" si="1"/>
        <v>0</v>
      </c>
      <c r="X124" s="264">
        <f t="shared" si="1"/>
        <v>0</v>
      </c>
      <c r="Y124" s="264">
        <f t="shared" si="1"/>
        <v>0</v>
      </c>
      <c r="Z124" s="256"/>
      <c r="AA124" s="256"/>
    </row>
    <row r="125" spans="2:27" x14ac:dyDescent="0.35">
      <c r="E125" s="27"/>
      <c r="F125" s="181" t="s">
        <v>192</v>
      </c>
      <c r="G125" t="s">
        <v>269</v>
      </c>
      <c r="H125" s="256"/>
      <c r="I125" s="256"/>
      <c r="J125" s="264">
        <f t="shared" ref="J125:Y125" si="2">hundred * $H20 * J57 / $H45 * J$78 * (1 - J69) / hours_in_year</f>
        <v>0.27823975699183612</v>
      </c>
      <c r="K125" s="264">
        <f t="shared" si="2"/>
        <v>0.27823975699183612</v>
      </c>
      <c r="L125" s="264">
        <f t="shared" si="2"/>
        <v>0.19758041921099034</v>
      </c>
      <c r="M125" s="264">
        <f t="shared" si="2"/>
        <v>0.19758041921099034</v>
      </c>
      <c r="N125" s="264">
        <f t="shared" si="2"/>
        <v>0.18263933427666146</v>
      </c>
      <c r="O125" s="264">
        <f t="shared" si="2"/>
        <v>0.1416461829412077</v>
      </c>
      <c r="P125" s="264">
        <f t="shared" si="2"/>
        <v>0.14234987324142001</v>
      </c>
      <c r="Q125" s="264">
        <f t="shared" si="2"/>
        <v>0.26214635884843018</v>
      </c>
      <c r="R125" s="264">
        <f t="shared" si="2"/>
        <v>-0.1365704485699617</v>
      </c>
      <c r="S125" s="264">
        <f t="shared" si="2"/>
        <v>-0.13068163106281655</v>
      </c>
      <c r="T125" s="264">
        <f t="shared" si="2"/>
        <v>-0.1365704485699617</v>
      </c>
      <c r="U125" s="264">
        <f t="shared" si="2"/>
        <v>-0.1365704485699617</v>
      </c>
      <c r="V125" s="264">
        <f t="shared" si="2"/>
        <v>-0.13068163106281655</v>
      </c>
      <c r="W125" s="264">
        <f t="shared" si="2"/>
        <v>-0.13068163106281655</v>
      </c>
      <c r="X125" s="264">
        <f t="shared" si="2"/>
        <v>-0.1286769272305969</v>
      </c>
      <c r="Y125" s="264">
        <f t="shared" si="2"/>
        <v>-0.1286769272305969</v>
      </c>
      <c r="Z125" s="256"/>
      <c r="AA125" s="256"/>
    </row>
    <row r="126" spans="2:27" x14ac:dyDescent="0.35">
      <c r="E126" s="27"/>
      <c r="F126" s="181" t="s">
        <v>193</v>
      </c>
      <c r="G126" t="s">
        <v>269</v>
      </c>
      <c r="H126" s="256"/>
      <c r="I126" s="256"/>
      <c r="J126" s="264">
        <f t="shared" ref="J126:Y126" si="3">hundred * $H21 * J58 / $H46 * J$78 * (1 - J70) / hours_in_year</f>
        <v>7.1993942921061191E-2</v>
      </c>
      <c r="K126" s="264">
        <f t="shared" si="3"/>
        <v>7.1993942921061191E-2</v>
      </c>
      <c r="L126" s="264">
        <f t="shared" si="3"/>
        <v>5.1123511523957901E-2</v>
      </c>
      <c r="M126" s="264">
        <f t="shared" si="3"/>
        <v>5.1123511523957901E-2</v>
      </c>
      <c r="N126" s="264">
        <f t="shared" si="3"/>
        <v>4.7257537704938339E-2</v>
      </c>
      <c r="O126" s="264">
        <f t="shared" si="3"/>
        <v>3.6650647340648414E-2</v>
      </c>
      <c r="P126" s="264">
        <f t="shared" si="3"/>
        <v>3.6832725703048207E-2</v>
      </c>
      <c r="Q126" s="264">
        <f t="shared" si="3"/>
        <v>6.7829810520038863E-2</v>
      </c>
      <c r="R126" s="264">
        <f t="shared" si="3"/>
        <v>-3.5337311911676356E-2</v>
      </c>
      <c r="S126" s="264">
        <f t="shared" si="3"/>
        <v>-3.3813592957686635E-2</v>
      </c>
      <c r="T126" s="264">
        <f t="shared" si="3"/>
        <v>-3.5337311911676356E-2</v>
      </c>
      <c r="U126" s="264">
        <f t="shared" si="3"/>
        <v>-3.5337311911676356E-2</v>
      </c>
      <c r="V126" s="264">
        <f t="shared" si="3"/>
        <v>-3.3813592957686635E-2</v>
      </c>
      <c r="W126" s="264">
        <f t="shared" si="3"/>
        <v>-3.3813592957686635E-2</v>
      </c>
      <c r="X126" s="264">
        <f t="shared" si="3"/>
        <v>-3.3294880122285882E-2</v>
      </c>
      <c r="Y126" s="264">
        <f t="shared" si="3"/>
        <v>-3.3294880122285882E-2</v>
      </c>
      <c r="Z126" s="256"/>
      <c r="AA126" s="256"/>
    </row>
    <row r="127" spans="2:27" x14ac:dyDescent="0.35">
      <c r="E127" s="27"/>
      <c r="F127" s="181" t="s">
        <v>194</v>
      </c>
      <c r="G127" t="s">
        <v>269</v>
      </c>
      <c r="H127" s="256"/>
      <c r="I127" s="256"/>
      <c r="J127" s="264">
        <f t="shared" ref="J127:Y127" si="4">hundred * $H22 * J59 / $H47 * J$78 * (1 - J71) / hours_in_year</f>
        <v>0.19588840756336601</v>
      </c>
      <c r="K127" s="264">
        <f t="shared" si="4"/>
        <v>0.19588840756336601</v>
      </c>
      <c r="L127" s="264">
        <f t="shared" si="4"/>
        <v>0.13910202518642512</v>
      </c>
      <c r="M127" s="264">
        <f t="shared" si="4"/>
        <v>0.13910202518642512</v>
      </c>
      <c r="N127" s="264">
        <f t="shared" si="4"/>
        <v>0.12858309228230902</v>
      </c>
      <c r="O127" s="264">
        <f t="shared" si="4"/>
        <v>9.9722791285346474E-2</v>
      </c>
      <c r="P127" s="264">
        <f t="shared" si="4"/>
        <v>9.7969522617635668E-2</v>
      </c>
      <c r="Q127" s="264">
        <f t="shared" si="4"/>
        <v>0.18455821460791602</v>
      </c>
      <c r="R127" s="264">
        <f t="shared" si="4"/>
        <v>-9.6149335306418227E-2</v>
      </c>
      <c r="S127" s="264">
        <f t="shared" si="4"/>
        <v>-9.2003446536324932E-2</v>
      </c>
      <c r="T127" s="264">
        <f t="shared" si="4"/>
        <v>-9.6149335306418227E-2</v>
      </c>
      <c r="U127" s="264">
        <f t="shared" si="4"/>
        <v>-9.6149335306418227E-2</v>
      </c>
      <c r="V127" s="264">
        <f t="shared" si="4"/>
        <v>-9.2003446536324932E-2</v>
      </c>
      <c r="W127" s="264">
        <f t="shared" si="4"/>
        <v>-9.2003446536324932E-2</v>
      </c>
      <c r="X127" s="264">
        <f t="shared" si="4"/>
        <v>-8.8559384322779225E-2</v>
      </c>
      <c r="Y127" s="264">
        <f t="shared" si="4"/>
        <v>-8.8559384322779225E-2</v>
      </c>
      <c r="Z127" s="256"/>
      <c r="AA127" s="256"/>
    </row>
    <row r="128" spans="2:27" x14ac:dyDescent="0.35">
      <c r="E128" s="27"/>
      <c r="F128" s="181" t="s">
        <v>195</v>
      </c>
      <c r="G128" t="s">
        <v>269</v>
      </c>
      <c r="H128" s="256"/>
      <c r="I128" s="256"/>
      <c r="J128" s="264">
        <f t="shared" ref="J128:Y128" si="5">hundred * $H23 * J60 / $H48 * J$78 * (1 - J72) / hours_in_year</f>
        <v>0.13690132543775699</v>
      </c>
      <c r="K128" s="264">
        <f t="shared" si="5"/>
        <v>0.13690132543775699</v>
      </c>
      <c r="L128" s="264">
        <f t="shared" si="5"/>
        <v>9.7214796199401141E-2</v>
      </c>
      <c r="M128" s="264">
        <f t="shared" si="5"/>
        <v>9.7214796199401141E-2</v>
      </c>
      <c r="N128" s="264">
        <f t="shared" si="5"/>
        <v>8.9863386921654576E-2</v>
      </c>
      <c r="O128" s="264">
        <f t="shared" si="5"/>
        <v>6.9693671377161634E-2</v>
      </c>
      <c r="P128" s="264">
        <f t="shared" si="5"/>
        <v>6.7026084216342902E-2</v>
      </c>
      <c r="Q128" s="264">
        <f t="shared" si="5"/>
        <v>0.1289829475594495</v>
      </c>
      <c r="R128" s="264">
        <f t="shared" si="5"/>
        <v>-6.7196275711976575E-2</v>
      </c>
      <c r="S128" s="264">
        <f t="shared" si="5"/>
        <v>-6.4298821621643631E-2</v>
      </c>
      <c r="T128" s="264">
        <f t="shared" si="5"/>
        <v>-6.7196275711976575E-2</v>
      </c>
      <c r="U128" s="264">
        <f t="shared" si="5"/>
        <v>-6.7196275711976575E-2</v>
      </c>
      <c r="V128" s="264">
        <f t="shared" si="5"/>
        <v>-6.4298821621643631E-2</v>
      </c>
      <c r="W128" s="264">
        <f t="shared" si="5"/>
        <v>-6.4298821621643631E-2</v>
      </c>
      <c r="X128" s="264">
        <f t="shared" si="5"/>
        <v>-6.0588115499274321E-2</v>
      </c>
      <c r="Y128" s="264">
        <f t="shared" si="5"/>
        <v>-6.0588115499274321E-2</v>
      </c>
      <c r="Z128" s="256"/>
      <c r="AA128" s="256"/>
    </row>
    <row r="129" spans="4:27" x14ac:dyDescent="0.35">
      <c r="E129" s="27"/>
      <c r="F129" s="181" t="s">
        <v>196</v>
      </c>
      <c r="G129" t="s">
        <v>269</v>
      </c>
      <c r="H129" s="256"/>
      <c r="I129" s="256"/>
      <c r="J129" s="264">
        <f t="shared" ref="J129:Y129" si="6">hundred * $H24 * J61 / $H49 * J$78 * (1 - J73) / hours_in_year</f>
        <v>0</v>
      </c>
      <c r="K129" s="264">
        <f t="shared" si="6"/>
        <v>0</v>
      </c>
      <c r="L129" s="264">
        <f t="shared" si="6"/>
        <v>0</v>
      </c>
      <c r="M129" s="264">
        <f t="shared" si="6"/>
        <v>0</v>
      </c>
      <c r="N129" s="264">
        <f t="shared" si="6"/>
        <v>0</v>
      </c>
      <c r="O129" s="264">
        <f t="shared" si="6"/>
        <v>0</v>
      </c>
      <c r="P129" s="264">
        <f t="shared" si="6"/>
        <v>0</v>
      </c>
      <c r="Q129" s="264">
        <f t="shared" si="6"/>
        <v>0</v>
      </c>
      <c r="R129" s="264">
        <f t="shared" si="6"/>
        <v>0</v>
      </c>
      <c r="S129" s="264">
        <f t="shared" si="6"/>
        <v>0</v>
      </c>
      <c r="T129" s="264">
        <f t="shared" si="6"/>
        <v>0</v>
      </c>
      <c r="U129" s="264">
        <f t="shared" si="6"/>
        <v>0</v>
      </c>
      <c r="V129" s="264">
        <f t="shared" si="6"/>
        <v>0</v>
      </c>
      <c r="W129" s="264">
        <f t="shared" si="6"/>
        <v>0</v>
      </c>
      <c r="X129" s="264">
        <f t="shared" si="6"/>
        <v>0</v>
      </c>
      <c r="Y129" s="264">
        <f t="shared" si="6"/>
        <v>0</v>
      </c>
      <c r="Z129" s="256"/>
      <c r="AA129" s="256"/>
    </row>
    <row r="130" spans="4:27" x14ac:dyDescent="0.35">
      <c r="E130" s="27"/>
      <c r="F130" s="181" t="s">
        <v>197</v>
      </c>
      <c r="G130" t="s">
        <v>269</v>
      </c>
      <c r="H130" s="256"/>
      <c r="I130" s="256"/>
      <c r="J130" s="264">
        <f t="shared" ref="J130:Y130" si="7">hundred * $H25 * J62 / $H50 * J$78 * (1 - J74) / hours_in_year</f>
        <v>0.29800797900803588</v>
      </c>
      <c r="K130" s="264">
        <f t="shared" si="7"/>
        <v>0.29800797900803588</v>
      </c>
      <c r="L130" s="264">
        <f t="shared" si="7"/>
        <v>0.21161800188876451</v>
      </c>
      <c r="M130" s="264">
        <f t="shared" si="7"/>
        <v>0.21161800188876451</v>
      </c>
      <c r="N130" s="264">
        <f t="shared" si="7"/>
        <v>0.19561539114181281</v>
      </c>
      <c r="O130" s="264">
        <f t="shared" si="7"/>
        <v>0.15170978140895366</v>
      </c>
      <c r="P130" s="264">
        <f t="shared" si="7"/>
        <v>0.14330141226660514</v>
      </c>
      <c r="Q130" s="264">
        <f t="shared" si="7"/>
        <v>0.28077118615018126</v>
      </c>
      <c r="R130" s="264">
        <f t="shared" si="7"/>
        <v>-0.14627342911225066</v>
      </c>
      <c r="S130" s="264">
        <f t="shared" si="7"/>
        <v>-0.13996622620557561</v>
      </c>
      <c r="T130" s="264">
        <f t="shared" si="7"/>
        <v>-0.14627342911225066</v>
      </c>
      <c r="U130" s="264">
        <f t="shared" si="7"/>
        <v>-0.14627342911225066</v>
      </c>
      <c r="V130" s="264">
        <f t="shared" si="7"/>
        <v>-0.13996622620557561</v>
      </c>
      <c r="W130" s="264">
        <f t="shared" si="7"/>
        <v>-0.13996622620557561</v>
      </c>
      <c r="X130" s="264">
        <f t="shared" si="7"/>
        <v>0</v>
      </c>
      <c r="Y130" s="264">
        <f t="shared" si="7"/>
        <v>0</v>
      </c>
      <c r="Z130" s="256"/>
      <c r="AA130" s="256"/>
    </row>
    <row r="131" spans="4:27" x14ac:dyDescent="0.35">
      <c r="E131" s="27"/>
      <c r="F131" s="181" t="s">
        <v>198</v>
      </c>
      <c r="G131" t="s">
        <v>269</v>
      </c>
      <c r="H131" s="256"/>
      <c r="I131" s="256"/>
      <c r="J131" s="264">
        <f t="shared" ref="J131:Y131" si="8">hundred * $H26 * J63 / $H51 * J$78 * (1 - J75) / hours_in_year</f>
        <v>0.10053870783254833</v>
      </c>
      <c r="K131" s="264">
        <f t="shared" si="8"/>
        <v>0.10053870783254833</v>
      </c>
      <c r="L131" s="264">
        <f t="shared" si="8"/>
        <v>7.1393391998502309E-2</v>
      </c>
      <c r="M131" s="264">
        <f t="shared" si="8"/>
        <v>7.1393391998502309E-2</v>
      </c>
      <c r="N131" s="264">
        <f t="shared" si="8"/>
        <v>6.5994604315698729E-2</v>
      </c>
      <c r="O131" s="264">
        <f t="shared" si="8"/>
        <v>5.1182204715408866E-2</v>
      </c>
      <c r="P131" s="264">
        <f t="shared" si="8"/>
        <v>0</v>
      </c>
      <c r="Q131" s="264">
        <f t="shared" si="8"/>
        <v>9.4723545141688723E-2</v>
      </c>
      <c r="R131" s="264">
        <f t="shared" si="8"/>
        <v>-4.9348146993020557E-2</v>
      </c>
      <c r="S131" s="264">
        <f t="shared" si="8"/>
        <v>0</v>
      </c>
      <c r="T131" s="264">
        <f t="shared" si="8"/>
        <v>-4.9348146993020557E-2</v>
      </c>
      <c r="U131" s="264">
        <f t="shared" si="8"/>
        <v>-4.9348146993020557E-2</v>
      </c>
      <c r="V131" s="264">
        <f t="shared" si="8"/>
        <v>0</v>
      </c>
      <c r="W131" s="264">
        <f t="shared" si="8"/>
        <v>0</v>
      </c>
      <c r="X131" s="264">
        <f t="shared" si="8"/>
        <v>0</v>
      </c>
      <c r="Y131" s="264">
        <f t="shared" si="8"/>
        <v>0</v>
      </c>
      <c r="Z131" s="256"/>
      <c r="AA131" s="256"/>
    </row>
    <row r="132" spans="4:27" x14ac:dyDescent="0.35">
      <c r="E132" s="27"/>
      <c r="F132" s="182" t="s">
        <v>199</v>
      </c>
      <c r="G132" s="28" t="s">
        <v>269</v>
      </c>
      <c r="H132" s="258"/>
      <c r="I132" s="258"/>
      <c r="J132" s="265">
        <f t="shared" ref="J132:Y132" si="9">hundred * $H27 * J64 / $H52 * J$78 * (1 - J76) / hours_in_year</f>
        <v>1.9848018225084366E-2</v>
      </c>
      <c r="K132" s="265">
        <f t="shared" si="9"/>
        <v>1.9848018225084366E-2</v>
      </c>
      <c r="L132" s="265">
        <f t="shared" si="9"/>
        <v>1.4094246644754687E-2</v>
      </c>
      <c r="M132" s="265">
        <f t="shared" si="9"/>
        <v>1.4094246644754687E-2</v>
      </c>
      <c r="N132" s="265">
        <f t="shared" si="9"/>
        <v>1.3028435887567335E-2</v>
      </c>
      <c r="O132" s="265">
        <f t="shared" si="9"/>
        <v>0</v>
      </c>
      <c r="P132" s="265">
        <f t="shared" si="9"/>
        <v>0</v>
      </c>
      <c r="Q132" s="265">
        <f t="shared" si="9"/>
        <v>1.8700008094874137E-2</v>
      </c>
      <c r="R132" s="265">
        <f t="shared" si="9"/>
        <v>0</v>
      </c>
      <c r="S132" s="265">
        <f t="shared" si="9"/>
        <v>0</v>
      </c>
      <c r="T132" s="265">
        <f t="shared" si="9"/>
        <v>0</v>
      </c>
      <c r="U132" s="265">
        <f t="shared" si="9"/>
        <v>0</v>
      </c>
      <c r="V132" s="265">
        <f t="shared" si="9"/>
        <v>0</v>
      </c>
      <c r="W132" s="265">
        <f t="shared" si="9"/>
        <v>0</v>
      </c>
      <c r="X132" s="265">
        <f t="shared" si="9"/>
        <v>0</v>
      </c>
      <c r="Y132" s="265">
        <f t="shared" si="9"/>
        <v>0</v>
      </c>
      <c r="Z132" s="256"/>
      <c r="AA132" s="256"/>
    </row>
    <row r="133" spans="4:27" x14ac:dyDescent="0.35">
      <c r="E133" s="27"/>
      <c r="F133" s="181"/>
      <c r="J133" s="79"/>
      <c r="K133" s="79"/>
      <c r="L133" s="79"/>
      <c r="M133" s="79"/>
      <c r="N133" s="79"/>
      <c r="O133" s="79"/>
      <c r="P133" s="79"/>
      <c r="Q133" s="79"/>
      <c r="R133" s="79"/>
      <c r="S133" s="79"/>
      <c r="T133" s="79"/>
      <c r="U133" s="79"/>
      <c r="V133" s="79"/>
      <c r="W133" s="79"/>
      <c r="X133" s="79"/>
      <c r="Y133" s="79"/>
    </row>
    <row r="134" spans="4:27" x14ac:dyDescent="0.35">
      <c r="E134" s="27" t="s">
        <v>621</v>
      </c>
      <c r="J134" s="79"/>
      <c r="K134" s="79"/>
      <c r="L134" s="79"/>
      <c r="M134" s="79"/>
      <c r="N134" s="79"/>
      <c r="O134" s="79"/>
      <c r="P134" s="79"/>
      <c r="Q134" s="79"/>
      <c r="R134" s="79"/>
      <c r="S134" s="79"/>
      <c r="T134" s="79"/>
      <c r="U134" s="79"/>
      <c r="V134" s="79"/>
      <c r="W134" s="79"/>
      <c r="X134" s="79"/>
      <c r="Y134" s="79"/>
    </row>
    <row r="135" spans="4:27" x14ac:dyDescent="0.35">
      <c r="D135" s="27"/>
      <c r="E135" s="27"/>
      <c r="F135" s="180" t="s">
        <v>189</v>
      </c>
      <c r="G135" s="19" t="s">
        <v>269</v>
      </c>
      <c r="H135" s="255"/>
      <c r="I135" s="255"/>
      <c r="J135" s="263">
        <f t="shared" ref="J135:Y135" si="10">hundred * $H30 * J55 / $H43 * J$78 / hours_in_year</f>
        <v>8.885896848629514E-2</v>
      </c>
      <c r="K135" s="263">
        <f t="shared" si="10"/>
        <v>8.885896848629514E-2</v>
      </c>
      <c r="L135" s="263">
        <f t="shared" si="10"/>
        <v>6.3099509696213238E-2</v>
      </c>
      <c r="M135" s="263">
        <f t="shared" si="10"/>
        <v>6.3099509696213238E-2</v>
      </c>
      <c r="N135" s="263">
        <f t="shared" si="10"/>
        <v>5.8327907644499445E-2</v>
      </c>
      <c r="O135" s="263">
        <f t="shared" si="10"/>
        <v>4.5236287733481879E-2</v>
      </c>
      <c r="P135" s="263">
        <f t="shared" si="10"/>
        <v>4.5461019076287475E-2</v>
      </c>
      <c r="Q135" s="263">
        <f t="shared" si="10"/>
        <v>8.3719362364139599E-2</v>
      </c>
      <c r="R135" s="263">
        <f t="shared" si="10"/>
        <v>-4.3615295372736722E-2</v>
      </c>
      <c r="S135" s="263">
        <f t="shared" si="10"/>
        <v>-4.1734635847490271E-2</v>
      </c>
      <c r="T135" s="263">
        <f t="shared" si="10"/>
        <v>-4.3615295372736722E-2</v>
      </c>
      <c r="U135" s="263">
        <f t="shared" si="10"/>
        <v>-4.3615295372736722E-2</v>
      </c>
      <c r="V135" s="263">
        <f t="shared" si="10"/>
        <v>-4.1734635847490271E-2</v>
      </c>
      <c r="W135" s="263">
        <f t="shared" si="10"/>
        <v>-4.1734635847490271E-2</v>
      </c>
      <c r="X135" s="263">
        <f t="shared" si="10"/>
        <v>-4.1094411328257439E-2</v>
      </c>
      <c r="Y135" s="263">
        <f t="shared" si="10"/>
        <v>-4.1094411328257439E-2</v>
      </c>
      <c r="Z135" s="256"/>
      <c r="AA135" s="256"/>
    </row>
    <row r="136" spans="4:27" x14ac:dyDescent="0.35">
      <c r="D136" s="27"/>
      <c r="E136" s="27"/>
      <c r="F136" s="181" t="s">
        <v>191</v>
      </c>
      <c r="G136" t="s">
        <v>269</v>
      </c>
      <c r="H136" s="256"/>
      <c r="I136" s="256"/>
      <c r="J136" s="264">
        <f t="shared" ref="J136:Y136" si="11">hundred * $H31 * J56 / $H44 * J$78 / hours_in_year</f>
        <v>0</v>
      </c>
      <c r="K136" s="264">
        <f t="shared" si="11"/>
        <v>0</v>
      </c>
      <c r="L136" s="264">
        <f t="shared" si="11"/>
        <v>0</v>
      </c>
      <c r="M136" s="264">
        <f t="shared" si="11"/>
        <v>0</v>
      </c>
      <c r="N136" s="264">
        <f t="shared" si="11"/>
        <v>0</v>
      </c>
      <c r="O136" s="264">
        <f t="shared" si="11"/>
        <v>0</v>
      </c>
      <c r="P136" s="264">
        <f t="shared" si="11"/>
        <v>0</v>
      </c>
      <c r="Q136" s="264">
        <f t="shared" si="11"/>
        <v>0</v>
      </c>
      <c r="R136" s="264">
        <f t="shared" si="11"/>
        <v>0</v>
      </c>
      <c r="S136" s="264">
        <f t="shared" si="11"/>
        <v>0</v>
      </c>
      <c r="T136" s="264">
        <f t="shared" si="11"/>
        <v>0</v>
      </c>
      <c r="U136" s="264">
        <f t="shared" si="11"/>
        <v>0</v>
      </c>
      <c r="V136" s="264">
        <f t="shared" si="11"/>
        <v>0</v>
      </c>
      <c r="W136" s="264">
        <f t="shared" si="11"/>
        <v>0</v>
      </c>
      <c r="X136" s="264">
        <f t="shared" si="11"/>
        <v>0</v>
      </c>
      <c r="Y136" s="264">
        <f t="shared" si="11"/>
        <v>0</v>
      </c>
      <c r="Z136" s="256"/>
      <c r="AA136" s="256"/>
    </row>
    <row r="137" spans="4:27" x14ac:dyDescent="0.35">
      <c r="D137" s="27"/>
      <c r="E137" s="27"/>
      <c r="F137" s="181" t="s">
        <v>192</v>
      </c>
      <c r="G137" t="s">
        <v>269</v>
      </c>
      <c r="H137" s="256"/>
      <c r="I137" s="256"/>
      <c r="J137" s="264">
        <f t="shared" ref="J137:Y137" si="12">hundred * $H32 * J57 / $H45 * J$78 / hours_in_year</f>
        <v>0.18535344848741947</v>
      </c>
      <c r="K137" s="264">
        <f t="shared" si="12"/>
        <v>0.18535344848741947</v>
      </c>
      <c r="L137" s="264">
        <f t="shared" si="12"/>
        <v>0.13162106109595828</v>
      </c>
      <c r="M137" s="264">
        <f t="shared" si="12"/>
        <v>0.13162106109595828</v>
      </c>
      <c r="N137" s="264">
        <f t="shared" si="12"/>
        <v>0.12166784072708572</v>
      </c>
      <c r="O137" s="264">
        <f t="shared" si="12"/>
        <v>9.4359658580362701E-2</v>
      </c>
      <c r="P137" s="264">
        <f t="shared" si="12"/>
        <v>9.4828432077082386E-2</v>
      </c>
      <c r="Q137" s="264">
        <f t="shared" si="12"/>
        <v>0.17463259796623085</v>
      </c>
      <c r="R137" s="264">
        <f t="shared" si="12"/>
        <v>-9.0978384532800272E-2</v>
      </c>
      <c r="S137" s="264">
        <f t="shared" si="12"/>
        <v>-8.7055463364872174E-2</v>
      </c>
      <c r="T137" s="264">
        <f t="shared" si="12"/>
        <v>-9.0978384532800272E-2</v>
      </c>
      <c r="U137" s="264">
        <f t="shared" si="12"/>
        <v>-9.0978384532800272E-2</v>
      </c>
      <c r="V137" s="264">
        <f t="shared" si="12"/>
        <v>-8.7055463364872174E-2</v>
      </c>
      <c r="W137" s="264">
        <f t="shared" si="12"/>
        <v>-8.7055463364872174E-2</v>
      </c>
      <c r="X137" s="264">
        <f t="shared" si="12"/>
        <v>-8.5720000839620059E-2</v>
      </c>
      <c r="Y137" s="264">
        <f t="shared" si="12"/>
        <v>-8.5720000839620059E-2</v>
      </c>
      <c r="Z137" s="256"/>
      <c r="AA137" s="256"/>
    </row>
    <row r="138" spans="4:27" x14ac:dyDescent="0.35">
      <c r="D138" s="27"/>
      <c r="E138" s="27"/>
      <c r="F138" s="181" t="s">
        <v>193</v>
      </c>
      <c r="G138" t="s">
        <v>269</v>
      </c>
      <c r="H138" s="256"/>
      <c r="I138" s="256"/>
      <c r="J138" s="264">
        <f t="shared" ref="J138:Y138" si="13">hundred * $H33 * J58 / $H46 * J$78 / hours_in_year</f>
        <v>4.7959808960790141E-2</v>
      </c>
      <c r="K138" s="264">
        <f t="shared" si="13"/>
        <v>4.7959808960790141E-2</v>
      </c>
      <c r="L138" s="264">
        <f t="shared" si="13"/>
        <v>3.4056668472543135E-2</v>
      </c>
      <c r="M138" s="264">
        <f t="shared" si="13"/>
        <v>3.4056668472543135E-2</v>
      </c>
      <c r="N138" s="264">
        <f t="shared" si="13"/>
        <v>3.1481293957899711E-2</v>
      </c>
      <c r="O138" s="264">
        <f t="shared" si="13"/>
        <v>2.441536014597934E-2</v>
      </c>
      <c r="P138" s="264">
        <f t="shared" si="13"/>
        <v>2.4536654287156779E-2</v>
      </c>
      <c r="Q138" s="264">
        <f t="shared" si="13"/>
        <v>4.518581178356313E-2</v>
      </c>
      <c r="R138" s="264">
        <f t="shared" si="13"/>
        <v>-2.3540462707121183E-2</v>
      </c>
      <c r="S138" s="264">
        <f t="shared" si="13"/>
        <v>-2.252541523259393E-2</v>
      </c>
      <c r="T138" s="264">
        <f t="shared" si="13"/>
        <v>-2.3540462707121183E-2</v>
      </c>
      <c r="U138" s="264">
        <f t="shared" si="13"/>
        <v>-2.3540462707121183E-2</v>
      </c>
      <c r="V138" s="264">
        <f t="shared" si="13"/>
        <v>-2.252541523259393E-2</v>
      </c>
      <c r="W138" s="264">
        <f t="shared" si="13"/>
        <v>-2.252541523259393E-2</v>
      </c>
      <c r="X138" s="264">
        <f t="shared" si="13"/>
        <v>-2.2179867156159126E-2</v>
      </c>
      <c r="Y138" s="264">
        <f t="shared" si="13"/>
        <v>-2.2179867156159126E-2</v>
      </c>
      <c r="Z138" s="256"/>
      <c r="AA138" s="256"/>
    </row>
    <row r="139" spans="4:27" x14ac:dyDescent="0.35">
      <c r="D139" s="27"/>
      <c r="E139" s="27"/>
      <c r="F139" s="181" t="s">
        <v>194</v>
      </c>
      <c r="G139" t="s">
        <v>269</v>
      </c>
      <c r="H139" s="256"/>
      <c r="I139" s="256"/>
      <c r="J139" s="264">
        <f t="shared" ref="J139:Y139" si="14">hundred * $H34 * J59 / $H47 * J$78 / hours_in_year</f>
        <v>0.13212838573014646</v>
      </c>
      <c r="K139" s="264">
        <f t="shared" si="14"/>
        <v>0.13212838573014646</v>
      </c>
      <c r="L139" s="264">
        <f t="shared" si="14"/>
        <v>9.3825491096154748E-2</v>
      </c>
      <c r="M139" s="264">
        <f t="shared" si="14"/>
        <v>9.3825491096154748E-2</v>
      </c>
      <c r="N139" s="264">
        <f t="shared" si="14"/>
        <v>8.6730381990349215E-2</v>
      </c>
      <c r="O139" s="264">
        <f t="shared" si="14"/>
        <v>6.7263865161469066E-2</v>
      </c>
      <c r="P139" s="264">
        <f t="shared" si="14"/>
        <v>6.7598028274700045E-2</v>
      </c>
      <c r="Q139" s="264">
        <f t="shared" si="14"/>
        <v>0.12448607486634294</v>
      </c>
      <c r="R139" s="264">
        <f t="shared" si="14"/>
        <v>-6.4853538915793721E-2</v>
      </c>
      <c r="S139" s="264">
        <f t="shared" si="14"/>
        <v>-6.2057101916672339E-2</v>
      </c>
      <c r="T139" s="264">
        <f t="shared" si="14"/>
        <v>-6.4853538915793721E-2</v>
      </c>
      <c r="U139" s="264">
        <f t="shared" si="14"/>
        <v>-6.4853538915793721E-2</v>
      </c>
      <c r="V139" s="264">
        <f t="shared" si="14"/>
        <v>-6.2057101916672339E-2</v>
      </c>
      <c r="W139" s="264">
        <f t="shared" si="14"/>
        <v>-6.2057101916672339E-2</v>
      </c>
      <c r="X139" s="264">
        <f t="shared" si="14"/>
        <v>-6.1105123363779955E-2</v>
      </c>
      <c r="Y139" s="264">
        <f t="shared" si="14"/>
        <v>-6.1105123363779955E-2</v>
      </c>
      <c r="Z139" s="256"/>
      <c r="AA139" s="256"/>
    </row>
    <row r="140" spans="4:27" x14ac:dyDescent="0.35">
      <c r="D140" s="27"/>
      <c r="E140" s="27"/>
      <c r="F140" s="181" t="s">
        <v>195</v>
      </c>
      <c r="G140" t="s">
        <v>269</v>
      </c>
      <c r="H140" s="256"/>
      <c r="I140" s="256"/>
      <c r="J140" s="264">
        <f t="shared" ref="J140:Y140" si="15">hundred * $H35 * J60 / $H48 * J$78 / hours_in_year</f>
        <v>9.3479796552531261E-2</v>
      </c>
      <c r="K140" s="264">
        <f t="shared" si="15"/>
        <v>9.3479796552531261E-2</v>
      </c>
      <c r="L140" s="264">
        <f t="shared" si="15"/>
        <v>6.6380799028476531E-2</v>
      </c>
      <c r="M140" s="264">
        <f t="shared" si="15"/>
        <v>6.6380799028476531E-2</v>
      </c>
      <c r="N140" s="264">
        <f t="shared" si="15"/>
        <v>6.1361064986744526E-2</v>
      </c>
      <c r="O140" s="264">
        <f t="shared" si="15"/>
        <v>4.7588657016312839E-2</v>
      </c>
      <c r="P140" s="264">
        <f t="shared" si="15"/>
        <v>4.7825074797908901E-2</v>
      </c>
      <c r="Q140" s="264">
        <f t="shared" si="15"/>
        <v>8.8072921559003231E-2</v>
      </c>
      <c r="R140" s="264">
        <f t="shared" si="15"/>
        <v>-4.5883370102938019E-2</v>
      </c>
      <c r="S140" s="264">
        <f t="shared" si="15"/>
        <v>-4.3904912859967296E-2</v>
      </c>
      <c r="T140" s="264">
        <f t="shared" si="15"/>
        <v>-4.5883370102938019E-2</v>
      </c>
      <c r="U140" s="264">
        <f t="shared" si="15"/>
        <v>-4.5883370102938019E-2</v>
      </c>
      <c r="V140" s="264">
        <f t="shared" si="15"/>
        <v>-4.3904912859967296E-2</v>
      </c>
      <c r="W140" s="264">
        <f t="shared" si="15"/>
        <v>-4.3904912859967296E-2</v>
      </c>
      <c r="X140" s="264">
        <f t="shared" si="15"/>
        <v>-4.3231395500658111E-2</v>
      </c>
      <c r="Y140" s="264">
        <f t="shared" si="15"/>
        <v>-4.3231395500658111E-2</v>
      </c>
      <c r="Z140" s="256"/>
      <c r="AA140" s="256"/>
    </row>
    <row r="141" spans="4:27" x14ac:dyDescent="0.35">
      <c r="D141" s="27"/>
      <c r="E141" s="27"/>
      <c r="F141" s="181" t="s">
        <v>196</v>
      </c>
      <c r="G141" t="s">
        <v>269</v>
      </c>
      <c r="H141" s="256"/>
      <c r="I141" s="256"/>
      <c r="J141" s="264">
        <f t="shared" ref="J141:Y141" si="16">hundred * $H36 * J61 / $H49 * J$78 / hours_in_year</f>
        <v>0</v>
      </c>
      <c r="K141" s="264">
        <f t="shared" si="16"/>
        <v>0</v>
      </c>
      <c r="L141" s="264">
        <f t="shared" si="16"/>
        <v>0</v>
      </c>
      <c r="M141" s="264">
        <f t="shared" si="16"/>
        <v>0</v>
      </c>
      <c r="N141" s="264">
        <f t="shared" si="16"/>
        <v>0</v>
      </c>
      <c r="O141" s="264">
        <f t="shared" si="16"/>
        <v>0</v>
      </c>
      <c r="P141" s="264">
        <f t="shared" si="16"/>
        <v>0</v>
      </c>
      <c r="Q141" s="264">
        <f t="shared" si="16"/>
        <v>0</v>
      </c>
      <c r="R141" s="264">
        <f t="shared" si="16"/>
        <v>0</v>
      </c>
      <c r="S141" s="264">
        <f t="shared" si="16"/>
        <v>0</v>
      </c>
      <c r="T141" s="264">
        <f t="shared" si="16"/>
        <v>0</v>
      </c>
      <c r="U141" s="264">
        <f t="shared" si="16"/>
        <v>0</v>
      </c>
      <c r="V141" s="264">
        <f t="shared" si="16"/>
        <v>0</v>
      </c>
      <c r="W141" s="264">
        <f t="shared" si="16"/>
        <v>0</v>
      </c>
      <c r="X141" s="264">
        <f t="shared" si="16"/>
        <v>0</v>
      </c>
      <c r="Y141" s="264">
        <f t="shared" si="16"/>
        <v>0</v>
      </c>
      <c r="Z141" s="256"/>
      <c r="AA141" s="256"/>
    </row>
    <row r="142" spans="4:27" x14ac:dyDescent="0.35">
      <c r="D142" s="27"/>
      <c r="E142" s="27"/>
      <c r="F142" s="181" t="s">
        <v>197</v>
      </c>
      <c r="G142" t="s">
        <v>269</v>
      </c>
      <c r="H142" s="256"/>
      <c r="I142" s="256"/>
      <c r="J142" s="264">
        <f t="shared" ref="J142:Y142" si="17">hundred * $H37 * J62 / $H50 * J$78 / hours_in_year</f>
        <v>0.30253296223543935</v>
      </c>
      <c r="K142" s="264">
        <f t="shared" si="17"/>
        <v>0.30253296223543935</v>
      </c>
      <c r="L142" s="264">
        <f t="shared" si="17"/>
        <v>0.21483123098535009</v>
      </c>
      <c r="M142" s="264">
        <f t="shared" si="17"/>
        <v>0.21483123098535009</v>
      </c>
      <c r="N142" s="264">
        <f t="shared" si="17"/>
        <v>0.19858563498187728</v>
      </c>
      <c r="O142" s="264">
        <f t="shared" si="17"/>
        <v>0.15401335804000102</v>
      </c>
      <c r="P142" s="264">
        <f t="shared" si="17"/>
        <v>0.15477848777315351</v>
      </c>
      <c r="Q142" s="264">
        <f t="shared" si="17"/>
        <v>0.28503444417534135</v>
      </c>
      <c r="R142" s="264">
        <f t="shared" si="17"/>
        <v>-0.14849445962140315</v>
      </c>
      <c r="S142" s="264">
        <f t="shared" si="17"/>
        <v>-0.14209148750928763</v>
      </c>
      <c r="T142" s="264">
        <f t="shared" si="17"/>
        <v>-0.14849445962140315</v>
      </c>
      <c r="U142" s="264">
        <f t="shared" si="17"/>
        <v>-0.14849445962140315</v>
      </c>
      <c r="V142" s="264">
        <f t="shared" si="17"/>
        <v>-0.14209148750928763</v>
      </c>
      <c r="W142" s="264">
        <f t="shared" si="17"/>
        <v>-0.14209148750928763</v>
      </c>
      <c r="X142" s="264">
        <f t="shared" si="17"/>
        <v>0</v>
      </c>
      <c r="Y142" s="264">
        <f t="shared" si="17"/>
        <v>0</v>
      </c>
      <c r="Z142" s="256"/>
      <c r="AA142" s="256"/>
    </row>
    <row r="143" spans="4:27" x14ac:dyDescent="0.35">
      <c r="D143" s="27"/>
      <c r="E143" s="27"/>
      <c r="F143" s="181" t="s">
        <v>198</v>
      </c>
      <c r="G143" t="s">
        <v>269</v>
      </c>
      <c r="H143" s="256"/>
      <c r="I143" s="256"/>
      <c r="J143" s="264">
        <f t="shared" ref="J143:Y143" si="18">hundred * $H38 * J63 / $H51 * J$78 / hours_in_year</f>
        <v>0.11617972422435675</v>
      </c>
      <c r="K143" s="264">
        <f t="shared" si="18"/>
        <v>0.11617972422435675</v>
      </c>
      <c r="L143" s="264">
        <f t="shared" si="18"/>
        <v>8.2500210840606714E-2</v>
      </c>
      <c r="M143" s="264">
        <f t="shared" si="18"/>
        <v>8.2500210840606714E-2</v>
      </c>
      <c r="N143" s="264">
        <f t="shared" si="18"/>
        <v>7.626152250199536E-2</v>
      </c>
      <c r="O143" s="264">
        <f t="shared" si="18"/>
        <v>5.9144727013347512E-2</v>
      </c>
      <c r="P143" s="264">
        <f t="shared" si="18"/>
        <v>0</v>
      </c>
      <c r="Q143" s="264">
        <f t="shared" si="18"/>
        <v>0.10945988454958108</v>
      </c>
      <c r="R143" s="264">
        <f t="shared" si="18"/>
        <v>-5.7025341107239377E-2</v>
      </c>
      <c r="S143" s="264">
        <f t="shared" si="18"/>
        <v>0</v>
      </c>
      <c r="T143" s="264">
        <f t="shared" si="18"/>
        <v>-5.7025341107239377E-2</v>
      </c>
      <c r="U143" s="264">
        <f t="shared" si="18"/>
        <v>-5.7025341107239377E-2</v>
      </c>
      <c r="V143" s="264">
        <f t="shared" si="18"/>
        <v>0</v>
      </c>
      <c r="W143" s="264">
        <f t="shared" si="18"/>
        <v>0</v>
      </c>
      <c r="X143" s="264">
        <f t="shared" si="18"/>
        <v>0</v>
      </c>
      <c r="Y143" s="264">
        <f t="shared" si="18"/>
        <v>0</v>
      </c>
      <c r="Z143" s="256"/>
      <c r="AA143" s="256"/>
    </row>
    <row r="144" spans="4:27" x14ac:dyDescent="0.35">
      <c r="D144" s="27"/>
      <c r="E144" s="27"/>
      <c r="F144" s="182" t="s">
        <v>199</v>
      </c>
      <c r="G144" s="28" t="s">
        <v>269</v>
      </c>
      <c r="H144" s="258"/>
      <c r="I144" s="258"/>
      <c r="J144" s="265">
        <f t="shared" ref="J144:Y144" si="19">hundred * $H39 * J64 / $H52 * J$78 / hours_in_year</f>
        <v>0.30020545088240536</v>
      </c>
      <c r="K144" s="265">
        <f t="shared" si="19"/>
        <v>0.30020545088240536</v>
      </c>
      <c r="L144" s="265">
        <f t="shared" si="19"/>
        <v>0.21317844536685099</v>
      </c>
      <c r="M144" s="265">
        <f t="shared" si="19"/>
        <v>0.21317844536685099</v>
      </c>
      <c r="N144" s="265">
        <f t="shared" si="19"/>
        <v>0.19705783346050099</v>
      </c>
      <c r="O144" s="265">
        <f t="shared" si="19"/>
        <v>0</v>
      </c>
      <c r="P144" s="265">
        <f t="shared" si="19"/>
        <v>0</v>
      </c>
      <c r="Q144" s="265">
        <f t="shared" si="19"/>
        <v>0.28284155616762885</v>
      </c>
      <c r="R144" s="265">
        <f t="shared" si="19"/>
        <v>0</v>
      </c>
      <c r="S144" s="265">
        <f t="shared" si="19"/>
        <v>0</v>
      </c>
      <c r="T144" s="265">
        <f t="shared" si="19"/>
        <v>0</v>
      </c>
      <c r="U144" s="265">
        <f t="shared" si="19"/>
        <v>0</v>
      </c>
      <c r="V144" s="265">
        <f t="shared" si="19"/>
        <v>0</v>
      </c>
      <c r="W144" s="265">
        <f t="shared" si="19"/>
        <v>0</v>
      </c>
      <c r="X144" s="265">
        <f t="shared" si="19"/>
        <v>0</v>
      </c>
      <c r="Y144" s="265">
        <f t="shared" si="19"/>
        <v>0</v>
      </c>
      <c r="Z144" s="256"/>
      <c r="AA144" s="256"/>
    </row>
    <row r="145" spans="3:27" x14ac:dyDescent="0.35">
      <c r="C145" s="27"/>
      <c r="D145" s="27"/>
      <c r="E145" s="27"/>
      <c r="J145" s="153"/>
      <c r="K145" s="153"/>
      <c r="L145" s="153"/>
      <c r="M145" s="153"/>
      <c r="N145" s="153"/>
      <c r="O145" s="153"/>
      <c r="P145" s="153"/>
      <c r="Q145" s="153"/>
      <c r="R145" s="153"/>
      <c r="S145" s="153"/>
      <c r="T145" s="153"/>
      <c r="U145" s="153"/>
      <c r="V145" s="153"/>
      <c r="W145" s="153"/>
      <c r="X145" s="153"/>
      <c r="Y145" s="153"/>
    </row>
    <row r="146" spans="3:27" x14ac:dyDescent="0.35">
      <c r="C146" s="26" t="str">
        <f ca="1">INDEX('Version control'!$H$38:$H$61,MATCH($A$1,'Version control'!$F$38:$F$61,0),1)&amp;"-C: Unit rate 1"</f>
        <v>Section 109-C: Unit rate 1</v>
      </c>
      <c r="D146" s="26"/>
      <c r="E146" s="26"/>
      <c r="F146" s="26"/>
      <c r="G146" s="26"/>
      <c r="H146" s="26"/>
      <c r="I146" s="26"/>
      <c r="J146" s="188"/>
      <c r="K146" s="188"/>
      <c r="L146" s="188"/>
      <c r="M146" s="188"/>
      <c r="N146" s="188"/>
      <c r="O146" s="188"/>
      <c r="P146" s="188"/>
      <c r="Q146" s="188"/>
      <c r="R146" s="188"/>
      <c r="S146" s="188"/>
      <c r="T146" s="188"/>
      <c r="U146" s="188"/>
      <c r="V146" s="188"/>
      <c r="W146" s="188"/>
      <c r="X146" s="188"/>
      <c r="Y146" s="188"/>
      <c r="Z146" s="26"/>
      <c r="AA146" s="26"/>
    </row>
    <row r="147" spans="3:27" x14ac:dyDescent="0.35">
      <c r="C147" s="27"/>
      <c r="D147" s="27"/>
      <c r="E147" s="27"/>
      <c r="J147" s="153"/>
      <c r="K147" s="153"/>
      <c r="L147" s="153"/>
      <c r="M147" s="153"/>
      <c r="N147" s="153"/>
      <c r="O147" s="153"/>
      <c r="P147" s="153"/>
      <c r="Q147" s="153"/>
      <c r="R147" s="153"/>
      <c r="S147" s="153"/>
      <c r="T147" s="153"/>
      <c r="U147" s="153"/>
      <c r="V147" s="153"/>
      <c r="W147" s="153"/>
      <c r="X147" s="153"/>
      <c r="Y147" s="153"/>
    </row>
    <row r="148" spans="3:27" x14ac:dyDescent="0.35">
      <c r="D148" s="24" t="s">
        <v>622</v>
      </c>
      <c r="E148" s="27"/>
      <c r="F148" s="27"/>
      <c r="J148" s="153"/>
      <c r="K148" s="153"/>
      <c r="L148" s="153"/>
      <c r="M148" s="153"/>
      <c r="N148" s="153"/>
      <c r="O148" s="153"/>
      <c r="P148" s="153"/>
      <c r="Q148" s="153"/>
      <c r="R148" s="153"/>
      <c r="S148" s="153"/>
      <c r="T148" s="153"/>
      <c r="U148" s="153"/>
      <c r="V148" s="153"/>
      <c r="W148" s="153"/>
      <c r="X148" s="153"/>
      <c r="Y148" s="153"/>
    </row>
    <row r="149" spans="3:27" x14ac:dyDescent="0.35">
      <c r="D149" s="24" t="s">
        <v>623</v>
      </c>
      <c r="E149" s="27"/>
      <c r="F149" s="27"/>
      <c r="J149" s="153"/>
      <c r="K149" s="153"/>
      <c r="L149" s="153"/>
      <c r="M149" s="153"/>
      <c r="N149" s="153"/>
      <c r="O149" s="153"/>
      <c r="P149" s="153"/>
      <c r="Q149" s="153"/>
      <c r="R149" s="153"/>
      <c r="S149" s="153"/>
      <c r="T149" s="153"/>
      <c r="U149" s="153"/>
      <c r="V149" s="153"/>
      <c r="W149" s="153"/>
      <c r="X149" s="153"/>
      <c r="Y149" s="153"/>
    </row>
    <row r="150" spans="3:27" x14ac:dyDescent="0.35">
      <c r="D150" s="27"/>
      <c r="E150" s="27"/>
      <c r="F150" s="27"/>
      <c r="I150" s="3" t="s">
        <v>154</v>
      </c>
      <c r="J150" s="153"/>
      <c r="K150" s="153"/>
      <c r="L150" s="153"/>
      <c r="M150" s="153"/>
      <c r="N150" s="153"/>
      <c r="O150" s="153"/>
      <c r="P150" s="153"/>
      <c r="Q150" s="153"/>
      <c r="R150" s="153"/>
      <c r="S150" s="153"/>
      <c r="T150" s="153"/>
      <c r="U150" s="153"/>
      <c r="V150" s="153"/>
      <c r="W150" s="153"/>
      <c r="X150" s="153"/>
      <c r="Y150" s="153"/>
      <c r="AA150" t="s">
        <v>624</v>
      </c>
    </row>
    <row r="151" spans="3:27" x14ac:dyDescent="0.35">
      <c r="E151" s="27" t="s">
        <v>620</v>
      </c>
      <c r="J151" s="153"/>
      <c r="K151" s="153"/>
      <c r="L151" s="153"/>
      <c r="M151" s="153"/>
      <c r="N151" s="153"/>
      <c r="O151" s="153"/>
      <c r="P151" s="153"/>
      <c r="Q151" s="153"/>
      <c r="R151" s="153"/>
      <c r="S151" s="153"/>
      <c r="T151" s="153"/>
      <c r="U151" s="153"/>
      <c r="V151" s="153"/>
      <c r="W151" s="153"/>
      <c r="X151" s="153"/>
      <c r="Y151" s="153"/>
    </row>
    <row r="152" spans="3:27" x14ac:dyDescent="0.35">
      <c r="E152" s="27"/>
      <c r="F152" s="180" t="s">
        <v>189</v>
      </c>
      <c r="G152" s="19" t="s">
        <v>269</v>
      </c>
      <c r="H152" s="255"/>
      <c r="I152" s="255"/>
      <c r="J152" s="263">
        <f t="shared" ref="J152:Y152" si="20">hundred * $H18 * J55 / $H43 * J81 * (1 - J67) / hours_in_year</f>
        <v>0</v>
      </c>
      <c r="K152" s="263">
        <f t="shared" si="20"/>
        <v>0</v>
      </c>
      <c r="L152" s="263">
        <f t="shared" si="20"/>
        <v>0</v>
      </c>
      <c r="M152" s="263">
        <f t="shared" si="20"/>
        <v>0</v>
      </c>
      <c r="N152" s="263">
        <f t="shared" si="20"/>
        <v>0</v>
      </c>
      <c r="O152" s="263">
        <f t="shared" si="20"/>
        <v>0</v>
      </c>
      <c r="P152" s="263">
        <f t="shared" si="20"/>
        <v>0</v>
      </c>
      <c r="Q152" s="263">
        <f t="shared" si="20"/>
        <v>0</v>
      </c>
      <c r="R152" s="263">
        <f t="shared" si="20"/>
        <v>0</v>
      </c>
      <c r="S152" s="263">
        <f t="shared" si="20"/>
        <v>0</v>
      </c>
      <c r="T152" s="263">
        <f t="shared" si="20"/>
        <v>0</v>
      </c>
      <c r="U152" s="263">
        <f t="shared" si="20"/>
        <v>0</v>
      </c>
      <c r="V152" s="263">
        <f t="shared" si="20"/>
        <v>0</v>
      </c>
      <c r="W152" s="263">
        <f t="shared" si="20"/>
        <v>0</v>
      </c>
      <c r="X152" s="263">
        <f t="shared" si="20"/>
        <v>0</v>
      </c>
      <c r="Y152" s="263">
        <f t="shared" si="20"/>
        <v>0</v>
      </c>
      <c r="Z152" s="256"/>
      <c r="AA152" s="256"/>
    </row>
    <row r="153" spans="3:27" x14ac:dyDescent="0.35">
      <c r="E153" s="27"/>
      <c r="F153" s="181" t="s">
        <v>191</v>
      </c>
      <c r="G153" t="s">
        <v>269</v>
      </c>
      <c r="H153" s="256"/>
      <c r="I153" s="256"/>
      <c r="J153" s="264">
        <f t="shared" ref="J153:Y153" si="21">hundred * $H19 * J56 / $H44 * J82 * (1 - J68) / hours_in_year</f>
        <v>0</v>
      </c>
      <c r="K153" s="264">
        <f t="shared" si="21"/>
        <v>0</v>
      </c>
      <c r="L153" s="264">
        <f t="shared" si="21"/>
        <v>0</v>
      </c>
      <c r="M153" s="264">
        <f t="shared" si="21"/>
        <v>0</v>
      </c>
      <c r="N153" s="264">
        <f t="shared" si="21"/>
        <v>0</v>
      </c>
      <c r="O153" s="264">
        <f t="shared" si="21"/>
        <v>0</v>
      </c>
      <c r="P153" s="264">
        <f t="shared" si="21"/>
        <v>0</v>
      </c>
      <c r="Q153" s="264">
        <f t="shared" si="21"/>
        <v>0</v>
      </c>
      <c r="R153" s="264">
        <f t="shared" si="21"/>
        <v>0</v>
      </c>
      <c r="S153" s="264">
        <f t="shared" si="21"/>
        <v>0</v>
      </c>
      <c r="T153" s="264">
        <f t="shared" si="21"/>
        <v>0</v>
      </c>
      <c r="U153" s="264">
        <f t="shared" si="21"/>
        <v>0</v>
      </c>
      <c r="V153" s="264">
        <f t="shared" si="21"/>
        <v>0</v>
      </c>
      <c r="W153" s="264">
        <f t="shared" si="21"/>
        <v>0</v>
      </c>
      <c r="X153" s="264">
        <f t="shared" si="21"/>
        <v>0</v>
      </c>
      <c r="Y153" s="264">
        <f t="shared" si="21"/>
        <v>0</v>
      </c>
      <c r="Z153" s="256"/>
      <c r="AA153" s="256"/>
    </row>
    <row r="154" spans="3:27" x14ac:dyDescent="0.35">
      <c r="E154" s="27"/>
      <c r="F154" s="181" t="s">
        <v>192</v>
      </c>
      <c r="G154" t="s">
        <v>269</v>
      </c>
      <c r="H154" s="256"/>
      <c r="I154" s="256"/>
      <c r="J154" s="264">
        <f t="shared" ref="J154:Y154" si="22">hundred * $H20 * J57 / $H45 * J83 * (1 - J69) / hours_in_year</f>
        <v>1.6368625441913387</v>
      </c>
      <c r="K154" s="264">
        <f t="shared" si="22"/>
        <v>1.6368625441913387</v>
      </c>
      <c r="L154" s="264">
        <f t="shared" si="22"/>
        <v>1.5311464947972213</v>
      </c>
      <c r="M154" s="264">
        <f t="shared" si="22"/>
        <v>1.5311464947972213</v>
      </c>
      <c r="N154" s="264">
        <f t="shared" si="22"/>
        <v>1.346858861707372</v>
      </c>
      <c r="O154" s="264">
        <f t="shared" si="22"/>
        <v>1.0956719654238198</v>
      </c>
      <c r="P154" s="264">
        <f t="shared" si="22"/>
        <v>1.1108929297311056</v>
      </c>
      <c r="Q154" s="264">
        <f t="shared" si="22"/>
        <v>3.6225317431581798</v>
      </c>
      <c r="R154" s="264">
        <f t="shared" si="22"/>
        <v>-1.1361641478970488</v>
      </c>
      <c r="S154" s="264">
        <f t="shared" si="22"/>
        <v>-1.0871735837216714</v>
      </c>
      <c r="T154" s="264">
        <f t="shared" si="22"/>
        <v>-1.1361641478970488</v>
      </c>
      <c r="U154" s="264">
        <f t="shared" si="22"/>
        <v>-1.1361641478970488</v>
      </c>
      <c r="V154" s="264">
        <f t="shared" si="22"/>
        <v>-1.0871735837216714</v>
      </c>
      <c r="W154" s="264">
        <f t="shared" si="22"/>
        <v>-1.0871735837216714</v>
      </c>
      <c r="X154" s="264">
        <f t="shared" si="22"/>
        <v>-1.0704959448534577</v>
      </c>
      <c r="Y154" s="264">
        <f t="shared" si="22"/>
        <v>-1.0704959448534577</v>
      </c>
      <c r="Z154" s="256"/>
      <c r="AA154" s="256"/>
    </row>
    <row r="155" spans="3:27" x14ac:dyDescent="0.35">
      <c r="E155" s="27"/>
      <c r="F155" s="181" t="s">
        <v>193</v>
      </c>
      <c r="G155" t="s">
        <v>269</v>
      </c>
      <c r="H155" s="256"/>
      <c r="I155" s="256"/>
      <c r="J155" s="264">
        <f t="shared" ref="J155:Y155" si="23">hundred * $H21 * J58 / $H46 * J84 * (1 - J70) / hours_in_year</f>
        <v>0.42353468767438551</v>
      </c>
      <c r="K155" s="264">
        <f t="shared" si="23"/>
        <v>0.42353468767438551</v>
      </c>
      <c r="L155" s="264">
        <f t="shared" si="23"/>
        <v>0.3961808856577187</v>
      </c>
      <c r="M155" s="264">
        <f t="shared" si="23"/>
        <v>0.3961808856577187</v>
      </c>
      <c r="N155" s="264">
        <f t="shared" si="23"/>
        <v>0.34849685415492609</v>
      </c>
      <c r="O155" s="264">
        <f t="shared" si="23"/>
        <v>0.28350278116884603</v>
      </c>
      <c r="P155" s="264">
        <f t="shared" si="23"/>
        <v>0.28744117317791607</v>
      </c>
      <c r="Q155" s="264">
        <f t="shared" si="23"/>
        <v>0.93732235237078088</v>
      </c>
      <c r="R155" s="264">
        <f t="shared" si="23"/>
        <v>-0.2939800469098896</v>
      </c>
      <c r="S155" s="264">
        <f t="shared" si="23"/>
        <v>-0.28130384305230716</v>
      </c>
      <c r="T155" s="264">
        <f t="shared" si="23"/>
        <v>-0.2939800469098896</v>
      </c>
      <c r="U155" s="264">
        <f t="shared" si="23"/>
        <v>-0.2939800469098896</v>
      </c>
      <c r="V155" s="264">
        <f t="shared" si="23"/>
        <v>-0.28130384305230716</v>
      </c>
      <c r="W155" s="264">
        <f t="shared" si="23"/>
        <v>-0.28130384305230716</v>
      </c>
      <c r="X155" s="264">
        <f t="shared" si="23"/>
        <v>-0.276988539611428</v>
      </c>
      <c r="Y155" s="264">
        <f t="shared" si="23"/>
        <v>-0.276988539611428</v>
      </c>
      <c r="Z155" s="256"/>
      <c r="AA155" s="256"/>
    </row>
    <row r="156" spans="3:27" x14ac:dyDescent="0.35">
      <c r="E156" s="27"/>
      <c r="F156" s="181" t="s">
        <v>194</v>
      </c>
      <c r="G156" t="s">
        <v>269</v>
      </c>
      <c r="H156" s="256"/>
      <c r="I156" s="256"/>
      <c r="J156" s="264">
        <f t="shared" ref="J156:Y156" si="24">hundred * $H22 * J59 / $H47 * J85 * (1 - J71) / hours_in_year</f>
        <v>0.96103882419068432</v>
      </c>
      <c r="K156" s="264">
        <f t="shared" si="24"/>
        <v>0.96103882419068432</v>
      </c>
      <c r="L156" s="264">
        <f t="shared" si="24"/>
        <v>0.89897055329748043</v>
      </c>
      <c r="M156" s="264">
        <f t="shared" si="24"/>
        <v>0.89897055329748043</v>
      </c>
      <c r="N156" s="264">
        <f t="shared" si="24"/>
        <v>0.79077113799162801</v>
      </c>
      <c r="O156" s="264">
        <f t="shared" si="24"/>
        <v>0.64329366023205714</v>
      </c>
      <c r="P156" s="264">
        <f t="shared" si="24"/>
        <v>0.63759555562911008</v>
      </c>
      <c r="Q156" s="264">
        <f t="shared" si="24"/>
        <v>2.1228598598850503</v>
      </c>
      <c r="R156" s="264">
        <f t="shared" si="24"/>
        <v>-0.66706753151470177</v>
      </c>
      <c r="S156" s="264">
        <f t="shared" si="24"/>
        <v>-0.6383040691466364</v>
      </c>
      <c r="T156" s="264">
        <f t="shared" si="24"/>
        <v>-0.66706753151470177</v>
      </c>
      <c r="U156" s="264">
        <f t="shared" si="24"/>
        <v>-0.66706753151470177</v>
      </c>
      <c r="V156" s="264">
        <f t="shared" si="24"/>
        <v>-0.6383040691466364</v>
      </c>
      <c r="W156" s="264">
        <f t="shared" si="24"/>
        <v>-0.6383040691466364</v>
      </c>
      <c r="X156" s="264">
        <f t="shared" si="24"/>
        <v>-0.61440975857390767</v>
      </c>
      <c r="Y156" s="264">
        <f t="shared" si="24"/>
        <v>-0.61440975857390767</v>
      </c>
      <c r="Z156" s="256"/>
      <c r="AA156" s="256"/>
    </row>
    <row r="157" spans="3:27" x14ac:dyDescent="0.35">
      <c r="E157" s="27"/>
      <c r="F157" s="181" t="s">
        <v>195</v>
      </c>
      <c r="G157" t="s">
        <v>269</v>
      </c>
      <c r="H157" s="256"/>
      <c r="I157" s="256"/>
      <c r="J157" s="264">
        <f t="shared" ref="J157:Y157" si="25">hundred * $H23 * J60 / $H48 * J86 * (1 - J72) / hours_in_year</f>
        <v>0.67164509868348765</v>
      </c>
      <c r="K157" s="264">
        <f t="shared" si="25"/>
        <v>0.67164509868348765</v>
      </c>
      <c r="L157" s="264">
        <f t="shared" si="25"/>
        <v>0.62826719460735858</v>
      </c>
      <c r="M157" s="264">
        <f t="shared" si="25"/>
        <v>0.62826719460735858</v>
      </c>
      <c r="N157" s="264">
        <f t="shared" si="25"/>
        <v>0.55264943064054539</v>
      </c>
      <c r="O157" s="264">
        <f t="shared" si="25"/>
        <v>0.44958124795101295</v>
      </c>
      <c r="P157" s="264">
        <f t="shared" si="25"/>
        <v>0.43621253085364914</v>
      </c>
      <c r="Q157" s="264">
        <f t="shared" si="25"/>
        <v>1.4836116754017923</v>
      </c>
      <c r="R157" s="264">
        <f t="shared" si="25"/>
        <v>-0.46619618974295052</v>
      </c>
      <c r="S157" s="264">
        <f t="shared" si="25"/>
        <v>-0.44609415220357551</v>
      </c>
      <c r="T157" s="264">
        <f t="shared" si="25"/>
        <v>-0.46619618974295052</v>
      </c>
      <c r="U157" s="264">
        <f t="shared" si="25"/>
        <v>-0.46619618974295052</v>
      </c>
      <c r="V157" s="264">
        <f t="shared" si="25"/>
        <v>-0.44609415220357551</v>
      </c>
      <c r="W157" s="264">
        <f t="shared" si="25"/>
        <v>-0.44609415220357551</v>
      </c>
      <c r="X157" s="264">
        <f t="shared" si="25"/>
        <v>-0.4203499121073036</v>
      </c>
      <c r="Y157" s="264">
        <f t="shared" si="25"/>
        <v>-0.4203499121073036</v>
      </c>
      <c r="Z157" s="256"/>
      <c r="AA157" s="256"/>
    </row>
    <row r="158" spans="3:27" x14ac:dyDescent="0.35">
      <c r="E158" s="27"/>
      <c r="F158" s="181" t="s">
        <v>196</v>
      </c>
      <c r="G158" t="s">
        <v>269</v>
      </c>
      <c r="H158" s="256"/>
      <c r="I158" s="256"/>
      <c r="J158" s="264">
        <f t="shared" ref="J158:Y158" si="26">hundred * $H24 * J61 / $H49 * J87 * (1 - J73) / hours_in_year</f>
        <v>0</v>
      </c>
      <c r="K158" s="264">
        <f t="shared" si="26"/>
        <v>0</v>
      </c>
      <c r="L158" s="264">
        <f t="shared" si="26"/>
        <v>0</v>
      </c>
      <c r="M158" s="264">
        <f t="shared" si="26"/>
        <v>0</v>
      </c>
      <c r="N158" s="264">
        <f t="shared" si="26"/>
        <v>0</v>
      </c>
      <c r="O158" s="264">
        <f t="shared" si="26"/>
        <v>0</v>
      </c>
      <c r="P158" s="264">
        <f t="shared" si="26"/>
        <v>0</v>
      </c>
      <c r="Q158" s="264">
        <f t="shared" si="26"/>
        <v>0</v>
      </c>
      <c r="R158" s="264">
        <f t="shared" si="26"/>
        <v>0</v>
      </c>
      <c r="S158" s="264">
        <f t="shared" si="26"/>
        <v>0</v>
      </c>
      <c r="T158" s="264">
        <f t="shared" si="26"/>
        <v>0</v>
      </c>
      <c r="U158" s="264">
        <f t="shared" si="26"/>
        <v>0</v>
      </c>
      <c r="V158" s="264">
        <f t="shared" si="26"/>
        <v>0</v>
      </c>
      <c r="W158" s="264">
        <f t="shared" si="26"/>
        <v>0</v>
      </c>
      <c r="X158" s="264">
        <f t="shared" si="26"/>
        <v>0</v>
      </c>
      <c r="Y158" s="264">
        <f t="shared" si="26"/>
        <v>0</v>
      </c>
      <c r="Z158" s="256"/>
      <c r="AA158" s="256"/>
    </row>
    <row r="159" spans="3:27" x14ac:dyDescent="0.35">
      <c r="E159" s="27"/>
      <c r="F159" s="181" t="s">
        <v>197</v>
      </c>
      <c r="G159" t="s">
        <v>269</v>
      </c>
      <c r="H159" s="256"/>
      <c r="I159" s="256"/>
      <c r="J159" s="264">
        <f t="shared" ref="J159:Y159" si="27">hundred * $H25 * J62 / $H50 * J88 * (1 - J74) / hours_in_year</f>
        <v>0.92141855032474895</v>
      </c>
      <c r="K159" s="264">
        <f t="shared" si="27"/>
        <v>0.92141855032474895</v>
      </c>
      <c r="L159" s="264">
        <f t="shared" si="27"/>
        <v>0.86190913743943542</v>
      </c>
      <c r="M159" s="264">
        <f t="shared" si="27"/>
        <v>0.86190913743943542</v>
      </c>
      <c r="N159" s="264">
        <f t="shared" si="27"/>
        <v>0.75817040609207142</v>
      </c>
      <c r="O159" s="264">
        <f t="shared" si="27"/>
        <v>0.61677290960985665</v>
      </c>
      <c r="P159" s="264">
        <f t="shared" si="27"/>
        <v>0.58776215877047</v>
      </c>
      <c r="Q159" s="264">
        <f t="shared" si="27"/>
        <v>1.9487150005946101</v>
      </c>
      <c r="R159" s="264">
        <f t="shared" si="27"/>
        <v>-0.63956666722033473</v>
      </c>
      <c r="S159" s="264">
        <f t="shared" si="27"/>
        <v>-0.61198902193652205</v>
      </c>
      <c r="T159" s="264">
        <f t="shared" si="27"/>
        <v>-0.63956666722033473</v>
      </c>
      <c r="U159" s="264">
        <f t="shared" si="27"/>
        <v>-0.63956666722033473</v>
      </c>
      <c r="V159" s="264">
        <f t="shared" si="27"/>
        <v>-0.61198902193652205</v>
      </c>
      <c r="W159" s="264">
        <f t="shared" si="27"/>
        <v>-0.61198902193652205</v>
      </c>
      <c r="X159" s="264">
        <f t="shared" si="27"/>
        <v>0</v>
      </c>
      <c r="Y159" s="264">
        <f t="shared" si="27"/>
        <v>0</v>
      </c>
      <c r="Z159" s="256"/>
      <c r="AA159" s="256"/>
    </row>
    <row r="160" spans="3:27" x14ac:dyDescent="0.35">
      <c r="E160" s="27"/>
      <c r="F160" s="181" t="s">
        <v>198</v>
      </c>
      <c r="G160" t="s">
        <v>269</v>
      </c>
      <c r="H160" s="256"/>
      <c r="I160" s="256"/>
      <c r="J160" s="264">
        <f t="shared" ref="J160:Y160" si="28">hundred * $H26 * J63 / $H51 * J89 * (1 - J75) / hours_in_year</f>
        <v>0.31085822175282135</v>
      </c>
      <c r="K160" s="264">
        <f t="shared" si="28"/>
        <v>0.31085822175282135</v>
      </c>
      <c r="L160" s="264">
        <f t="shared" si="28"/>
        <v>0.29078157986129105</v>
      </c>
      <c r="M160" s="264">
        <f t="shared" si="28"/>
        <v>0.29078157986129105</v>
      </c>
      <c r="N160" s="264">
        <f t="shared" si="28"/>
        <v>0.25578332902059592</v>
      </c>
      <c r="O160" s="264">
        <f t="shared" si="28"/>
        <v>0.20808017142596036</v>
      </c>
      <c r="P160" s="264">
        <f t="shared" si="28"/>
        <v>0</v>
      </c>
      <c r="Q160" s="264">
        <f t="shared" si="28"/>
        <v>0.65743638390434722</v>
      </c>
      <c r="R160" s="264">
        <f t="shared" si="28"/>
        <v>-0.21577008276468998</v>
      </c>
      <c r="S160" s="264">
        <f t="shared" si="28"/>
        <v>0</v>
      </c>
      <c r="T160" s="264">
        <f t="shared" si="28"/>
        <v>-0.21577008276468998</v>
      </c>
      <c r="U160" s="264">
        <f t="shared" si="28"/>
        <v>-0.21577008276468998</v>
      </c>
      <c r="V160" s="264">
        <f t="shared" si="28"/>
        <v>0</v>
      </c>
      <c r="W160" s="264">
        <f t="shared" si="28"/>
        <v>0</v>
      </c>
      <c r="X160" s="264">
        <f t="shared" si="28"/>
        <v>0</v>
      </c>
      <c r="Y160" s="264">
        <f t="shared" si="28"/>
        <v>0</v>
      </c>
      <c r="Z160" s="256"/>
      <c r="AA160" s="256"/>
    </row>
    <row r="161" spans="3:27" x14ac:dyDescent="0.35">
      <c r="E161" s="27"/>
      <c r="F161" s="182" t="s">
        <v>199</v>
      </c>
      <c r="G161" s="28" t="s">
        <v>269</v>
      </c>
      <c r="H161" s="258"/>
      <c r="I161" s="258"/>
      <c r="J161" s="265">
        <f t="shared" ref="J161:Y161" si="29">hundred * $H27 * J64 / $H52 * J90 * (1 - J76) / hours_in_year</f>
        <v>6.1368599057823485E-2</v>
      </c>
      <c r="K161" s="265">
        <f t="shared" si="29"/>
        <v>6.1368599057823485E-2</v>
      </c>
      <c r="L161" s="265">
        <f t="shared" si="29"/>
        <v>5.7405135007487014E-2</v>
      </c>
      <c r="M161" s="265">
        <f t="shared" si="29"/>
        <v>5.7405135007487014E-2</v>
      </c>
      <c r="N161" s="265">
        <f t="shared" si="29"/>
        <v>5.049589641165033E-2</v>
      </c>
      <c r="O161" s="265">
        <f t="shared" si="29"/>
        <v>0</v>
      </c>
      <c r="P161" s="265">
        <f t="shared" si="29"/>
        <v>0</v>
      </c>
      <c r="Q161" s="265">
        <f t="shared" si="29"/>
        <v>0.12978891027026543</v>
      </c>
      <c r="R161" s="265">
        <f t="shared" si="29"/>
        <v>0</v>
      </c>
      <c r="S161" s="265">
        <f t="shared" si="29"/>
        <v>0</v>
      </c>
      <c r="T161" s="265">
        <f t="shared" si="29"/>
        <v>0</v>
      </c>
      <c r="U161" s="265">
        <f t="shared" si="29"/>
        <v>0</v>
      </c>
      <c r="V161" s="265">
        <f t="shared" si="29"/>
        <v>0</v>
      </c>
      <c r="W161" s="265">
        <f t="shared" si="29"/>
        <v>0</v>
      </c>
      <c r="X161" s="265">
        <f t="shared" si="29"/>
        <v>0</v>
      </c>
      <c r="Y161" s="265">
        <f t="shared" si="29"/>
        <v>0</v>
      </c>
      <c r="Z161" s="256"/>
      <c r="AA161" s="256"/>
    </row>
    <row r="162" spans="3:27" x14ac:dyDescent="0.35">
      <c r="E162" s="27"/>
      <c r="F162" s="181"/>
      <c r="J162" s="153"/>
      <c r="K162" s="153"/>
      <c r="L162" s="153"/>
      <c r="M162" s="153"/>
      <c r="N162" s="153"/>
      <c r="O162" s="153"/>
      <c r="P162" s="153"/>
      <c r="Q162" s="153"/>
      <c r="R162" s="153"/>
      <c r="S162" s="153"/>
      <c r="T162" s="153"/>
      <c r="U162" s="153"/>
      <c r="V162" s="153"/>
      <c r="W162" s="153"/>
      <c r="X162" s="153"/>
      <c r="Y162" s="153"/>
    </row>
    <row r="163" spans="3:27" x14ac:dyDescent="0.35">
      <c r="E163" s="27" t="s">
        <v>621</v>
      </c>
      <c r="J163" s="153"/>
      <c r="K163" s="153"/>
      <c r="L163" s="153"/>
      <c r="M163" s="153"/>
      <c r="N163" s="153"/>
      <c r="O163" s="153"/>
      <c r="P163" s="153"/>
      <c r="Q163" s="153"/>
      <c r="R163" s="153"/>
      <c r="S163" s="153"/>
      <c r="T163" s="153"/>
      <c r="U163" s="153"/>
      <c r="V163" s="153"/>
      <c r="W163" s="153"/>
      <c r="X163" s="153"/>
      <c r="Y163" s="153"/>
    </row>
    <row r="164" spans="3:27" x14ac:dyDescent="0.35">
      <c r="D164" s="27"/>
      <c r="E164" s="27"/>
      <c r="F164" s="180" t="s">
        <v>189</v>
      </c>
      <c r="G164" s="19" t="s">
        <v>269</v>
      </c>
      <c r="H164" s="255"/>
      <c r="I164" s="255"/>
      <c r="J164" s="263">
        <f t="shared" ref="J164:Y164" si="30">hundred * $H30 * J55 / $H43 * J81 / hours_in_year</f>
        <v>0.61771612950608523</v>
      </c>
      <c r="K164" s="263">
        <f t="shared" si="30"/>
        <v>0.61771612950608523</v>
      </c>
      <c r="L164" s="263">
        <f t="shared" si="30"/>
        <v>0.57782120424791716</v>
      </c>
      <c r="M164" s="263">
        <f t="shared" si="30"/>
        <v>0.57782120424791716</v>
      </c>
      <c r="N164" s="263">
        <f t="shared" si="30"/>
        <v>0.50827508149492917</v>
      </c>
      <c r="O164" s="263">
        <f t="shared" si="30"/>
        <v>0.41348263975598182</v>
      </c>
      <c r="P164" s="263">
        <f t="shared" si="30"/>
        <v>0.41922669883572083</v>
      </c>
      <c r="Q164" s="263">
        <f t="shared" si="30"/>
        <v>1.1939605038446728</v>
      </c>
      <c r="R164" s="263">
        <f t="shared" si="30"/>
        <v>-0.42876350394422941</v>
      </c>
      <c r="S164" s="263">
        <f t="shared" si="30"/>
        <v>-0.41027553634296449</v>
      </c>
      <c r="T164" s="263">
        <f t="shared" si="30"/>
        <v>-0.42876350394422941</v>
      </c>
      <c r="U164" s="263">
        <f t="shared" si="30"/>
        <v>-0.42876350394422941</v>
      </c>
      <c r="V164" s="263">
        <f t="shared" si="30"/>
        <v>-0.41027553634296449</v>
      </c>
      <c r="W164" s="263">
        <f t="shared" si="30"/>
        <v>-0.41027553634296449</v>
      </c>
      <c r="X164" s="263">
        <f t="shared" si="30"/>
        <v>-0.40398176013827852</v>
      </c>
      <c r="Y164" s="263">
        <f t="shared" si="30"/>
        <v>-0.40398176013827852</v>
      </c>
      <c r="Z164" s="256"/>
      <c r="AA164" s="256"/>
    </row>
    <row r="165" spans="3:27" x14ac:dyDescent="0.35">
      <c r="D165" s="27"/>
      <c r="E165" s="27"/>
      <c r="F165" s="181" t="s">
        <v>191</v>
      </c>
      <c r="G165" t="s">
        <v>269</v>
      </c>
      <c r="H165" s="256"/>
      <c r="I165" s="256"/>
      <c r="J165" s="264">
        <f t="shared" ref="J165:Y165" si="31">hundred * $H31 * J56 / $H44 * J82 / hours_in_year</f>
        <v>0</v>
      </c>
      <c r="K165" s="264">
        <f t="shared" si="31"/>
        <v>0</v>
      </c>
      <c r="L165" s="264">
        <f t="shared" si="31"/>
        <v>0</v>
      </c>
      <c r="M165" s="264">
        <f t="shared" si="31"/>
        <v>0</v>
      </c>
      <c r="N165" s="264">
        <f t="shared" si="31"/>
        <v>0</v>
      </c>
      <c r="O165" s="264">
        <f t="shared" si="31"/>
        <v>0</v>
      </c>
      <c r="P165" s="264">
        <f t="shared" si="31"/>
        <v>0</v>
      </c>
      <c r="Q165" s="264">
        <f t="shared" si="31"/>
        <v>0</v>
      </c>
      <c r="R165" s="264">
        <f t="shared" si="31"/>
        <v>0</v>
      </c>
      <c r="S165" s="264">
        <f t="shared" si="31"/>
        <v>0</v>
      </c>
      <c r="T165" s="264">
        <f t="shared" si="31"/>
        <v>0</v>
      </c>
      <c r="U165" s="264">
        <f t="shared" si="31"/>
        <v>0</v>
      </c>
      <c r="V165" s="264">
        <f t="shared" si="31"/>
        <v>0</v>
      </c>
      <c r="W165" s="264">
        <f t="shared" si="31"/>
        <v>0</v>
      </c>
      <c r="X165" s="264">
        <f t="shared" si="31"/>
        <v>0</v>
      </c>
      <c r="Y165" s="264">
        <f t="shared" si="31"/>
        <v>0</v>
      </c>
      <c r="Z165" s="256"/>
      <c r="AA165" s="256"/>
    </row>
    <row r="166" spans="3:27" x14ac:dyDescent="0.35">
      <c r="D166" s="27"/>
      <c r="E166" s="27"/>
      <c r="F166" s="181" t="s">
        <v>192</v>
      </c>
      <c r="G166" t="s">
        <v>269</v>
      </c>
      <c r="H166" s="256"/>
      <c r="I166" s="256"/>
      <c r="J166" s="264">
        <f t="shared" ref="J166:Y166" si="32">hundred * $H32 * J57 / $H45 * J83 / hours_in_year</f>
        <v>1.0904197176777213</v>
      </c>
      <c r="K166" s="264">
        <f t="shared" si="32"/>
        <v>1.0904197176777213</v>
      </c>
      <c r="L166" s="264">
        <f t="shared" si="32"/>
        <v>1.019995438532592</v>
      </c>
      <c r="M166" s="264">
        <f t="shared" si="32"/>
        <v>1.019995438532592</v>
      </c>
      <c r="N166" s="264">
        <f t="shared" si="32"/>
        <v>0.89722955965141515</v>
      </c>
      <c r="O166" s="264">
        <f t="shared" si="32"/>
        <v>0.72989776658068484</v>
      </c>
      <c r="P166" s="264">
        <f t="shared" si="32"/>
        <v>0.74003743265199362</v>
      </c>
      <c r="Q166" s="264">
        <f t="shared" si="32"/>
        <v>2.4132020459937817</v>
      </c>
      <c r="R166" s="264">
        <f t="shared" si="32"/>
        <v>-0.75687222105598495</v>
      </c>
      <c r="S166" s="264">
        <f t="shared" si="32"/>
        <v>-0.72423644638659834</v>
      </c>
      <c r="T166" s="264">
        <f t="shared" si="32"/>
        <v>-0.75687222105598495</v>
      </c>
      <c r="U166" s="264">
        <f t="shared" si="32"/>
        <v>-0.75687222105598495</v>
      </c>
      <c r="V166" s="264">
        <f t="shared" si="32"/>
        <v>-0.72423644638659834</v>
      </c>
      <c r="W166" s="264">
        <f t="shared" si="32"/>
        <v>-0.72423644638659834</v>
      </c>
      <c r="X166" s="264">
        <f t="shared" si="32"/>
        <v>-0.71312639543531786</v>
      </c>
      <c r="Y166" s="264">
        <f t="shared" si="32"/>
        <v>-0.71312639543531786</v>
      </c>
      <c r="Z166" s="256"/>
      <c r="AA166" s="256"/>
    </row>
    <row r="167" spans="3:27" x14ac:dyDescent="0.35">
      <c r="D167" s="27"/>
      <c r="E167" s="27"/>
      <c r="F167" s="181" t="s">
        <v>193</v>
      </c>
      <c r="G167" t="s">
        <v>269</v>
      </c>
      <c r="H167" s="256"/>
      <c r="I167" s="256"/>
      <c r="J167" s="264">
        <f t="shared" ref="J167:Y167" si="33">hundred * $H33 * J58 / $H46 * J84 / hours_in_year</f>
        <v>0.28214377328108758</v>
      </c>
      <c r="K167" s="264">
        <f t="shared" si="33"/>
        <v>0.28214377328108758</v>
      </c>
      <c r="L167" s="264">
        <f t="shared" si="33"/>
        <v>0.26392164144828811</v>
      </c>
      <c r="M167" s="264">
        <f t="shared" si="33"/>
        <v>0.26392164144828811</v>
      </c>
      <c r="N167" s="264">
        <f t="shared" si="33"/>
        <v>0.23215623246295511</v>
      </c>
      <c r="O167" s="264">
        <f t="shared" si="33"/>
        <v>0.18885948835472019</v>
      </c>
      <c r="P167" s="264">
        <f t="shared" si="33"/>
        <v>0.19148310529670112</v>
      </c>
      <c r="Q167" s="264">
        <f t="shared" si="33"/>
        <v>0.6244108758381427</v>
      </c>
      <c r="R167" s="264">
        <f t="shared" si="33"/>
        <v>-0.19583907084435884</v>
      </c>
      <c r="S167" s="264">
        <f t="shared" si="33"/>
        <v>-0.18739463384464791</v>
      </c>
      <c r="T167" s="264">
        <f t="shared" si="33"/>
        <v>-0.19583907084435884</v>
      </c>
      <c r="U167" s="264">
        <f t="shared" si="33"/>
        <v>-0.19583907084435884</v>
      </c>
      <c r="V167" s="264">
        <f t="shared" si="33"/>
        <v>-0.18739463384464791</v>
      </c>
      <c r="W167" s="264">
        <f t="shared" si="33"/>
        <v>-0.18739463384464791</v>
      </c>
      <c r="X167" s="264">
        <f t="shared" si="33"/>
        <v>-0.18451993188729951</v>
      </c>
      <c r="Y167" s="264">
        <f t="shared" si="33"/>
        <v>-0.18451993188729951</v>
      </c>
      <c r="Z167" s="256"/>
      <c r="AA167" s="256"/>
    </row>
    <row r="168" spans="3:27" x14ac:dyDescent="0.35">
      <c r="D168" s="27"/>
      <c r="E168" s="27"/>
      <c r="F168" s="181" t="s">
        <v>194</v>
      </c>
      <c r="G168" t="s">
        <v>269</v>
      </c>
      <c r="H168" s="256"/>
      <c r="I168" s="256"/>
      <c r="J168" s="264">
        <f t="shared" ref="J168:Y168" si="34">hundred * $H34 * J59 / $H47 * J85 / hours_in_year</f>
        <v>0.64822880559298779</v>
      </c>
      <c r="K168" s="264">
        <f t="shared" si="34"/>
        <v>0.64822880559298779</v>
      </c>
      <c r="L168" s="264">
        <f t="shared" si="34"/>
        <v>0.60636323253436974</v>
      </c>
      <c r="M168" s="264">
        <f t="shared" si="34"/>
        <v>0.60636323253436974</v>
      </c>
      <c r="N168" s="264">
        <f t="shared" si="34"/>
        <v>0.53338181286213393</v>
      </c>
      <c r="O168" s="264">
        <f t="shared" si="34"/>
        <v>0.43390700825113454</v>
      </c>
      <c r="P168" s="264">
        <f t="shared" si="34"/>
        <v>0.43993480059564072</v>
      </c>
      <c r="Q168" s="264">
        <f t="shared" si="34"/>
        <v>1.4318869090158064</v>
      </c>
      <c r="R168" s="264">
        <f t="shared" si="34"/>
        <v>-0.44994268526849945</v>
      </c>
      <c r="S168" s="264">
        <f t="shared" si="34"/>
        <v>-0.4305414869128853</v>
      </c>
      <c r="T168" s="264">
        <f t="shared" si="34"/>
        <v>-0.44994268526849945</v>
      </c>
      <c r="U168" s="264">
        <f t="shared" si="34"/>
        <v>-0.44994268526849945</v>
      </c>
      <c r="V168" s="264">
        <f t="shared" si="34"/>
        <v>-0.4305414869128853</v>
      </c>
      <c r="W168" s="264">
        <f t="shared" si="34"/>
        <v>-0.4305414869128853</v>
      </c>
      <c r="X168" s="264">
        <f t="shared" si="34"/>
        <v>-0.42393682364288898</v>
      </c>
      <c r="Y168" s="264">
        <f t="shared" si="34"/>
        <v>-0.42393682364288898</v>
      </c>
      <c r="Z168" s="256"/>
      <c r="AA168" s="256"/>
    </row>
    <row r="169" spans="3:27" x14ac:dyDescent="0.35">
      <c r="D169" s="27"/>
      <c r="E169" s="27"/>
      <c r="F169" s="181" t="s">
        <v>195</v>
      </c>
      <c r="G169" t="s">
        <v>269</v>
      </c>
      <c r="H169" s="256"/>
      <c r="I169" s="256"/>
      <c r="J169" s="264">
        <f t="shared" ref="J169:Y169" si="35">hundred * $H35 * J60 / $H48 * J86 / hours_in_year</f>
        <v>0.45861679556187263</v>
      </c>
      <c r="K169" s="264">
        <f t="shared" si="35"/>
        <v>0.45861679556187263</v>
      </c>
      <c r="L169" s="264">
        <f t="shared" si="35"/>
        <v>0.42899723099633191</v>
      </c>
      <c r="M169" s="264">
        <f t="shared" si="35"/>
        <v>0.42899723099633191</v>
      </c>
      <c r="N169" s="264">
        <f t="shared" si="35"/>
        <v>0.37736344900940089</v>
      </c>
      <c r="O169" s="264">
        <f t="shared" si="35"/>
        <v>0.30698580497967154</v>
      </c>
      <c r="P169" s="264">
        <f t="shared" si="35"/>
        <v>0.31125042078430382</v>
      </c>
      <c r="Q169" s="264">
        <f t="shared" si="35"/>
        <v>1.0130487570960354</v>
      </c>
      <c r="R169" s="264">
        <f t="shared" si="35"/>
        <v>-0.31833092069331459</v>
      </c>
      <c r="S169" s="264">
        <f t="shared" si="35"/>
        <v>-0.30460472503039182</v>
      </c>
      <c r="T169" s="264">
        <f t="shared" si="35"/>
        <v>-0.31833092069331459</v>
      </c>
      <c r="U169" s="264">
        <f t="shared" si="35"/>
        <v>-0.31833092069331459</v>
      </c>
      <c r="V169" s="264">
        <f t="shared" si="35"/>
        <v>-0.30460472503039182</v>
      </c>
      <c r="W169" s="264">
        <f t="shared" si="35"/>
        <v>-0.30460472503039182</v>
      </c>
      <c r="X169" s="264">
        <f t="shared" si="35"/>
        <v>-0.29993197757067347</v>
      </c>
      <c r="Y169" s="264">
        <f t="shared" si="35"/>
        <v>-0.29993197757067347</v>
      </c>
      <c r="Z169" s="256"/>
      <c r="AA169" s="256"/>
    </row>
    <row r="170" spans="3:27" x14ac:dyDescent="0.35">
      <c r="D170" s="27"/>
      <c r="E170" s="27"/>
      <c r="F170" s="181" t="s">
        <v>196</v>
      </c>
      <c r="G170" t="s">
        <v>269</v>
      </c>
      <c r="H170" s="256"/>
      <c r="I170" s="256"/>
      <c r="J170" s="264">
        <f t="shared" ref="J170:Y170" si="36">hundred * $H36 * J61 / $H49 * J87 / hours_in_year</f>
        <v>0</v>
      </c>
      <c r="K170" s="264">
        <f t="shared" si="36"/>
        <v>0</v>
      </c>
      <c r="L170" s="264">
        <f t="shared" si="36"/>
        <v>0</v>
      </c>
      <c r="M170" s="264">
        <f t="shared" si="36"/>
        <v>0</v>
      </c>
      <c r="N170" s="264">
        <f t="shared" si="36"/>
        <v>0</v>
      </c>
      <c r="O170" s="264">
        <f t="shared" si="36"/>
        <v>0</v>
      </c>
      <c r="P170" s="264">
        <f t="shared" si="36"/>
        <v>0</v>
      </c>
      <c r="Q170" s="264">
        <f t="shared" si="36"/>
        <v>0</v>
      </c>
      <c r="R170" s="264">
        <f t="shared" si="36"/>
        <v>0</v>
      </c>
      <c r="S170" s="264">
        <f t="shared" si="36"/>
        <v>0</v>
      </c>
      <c r="T170" s="264">
        <f t="shared" si="36"/>
        <v>0</v>
      </c>
      <c r="U170" s="264">
        <f t="shared" si="36"/>
        <v>0</v>
      </c>
      <c r="V170" s="264">
        <f t="shared" si="36"/>
        <v>0</v>
      </c>
      <c r="W170" s="264">
        <f t="shared" si="36"/>
        <v>0</v>
      </c>
      <c r="X170" s="264">
        <f t="shared" si="36"/>
        <v>0</v>
      </c>
      <c r="Y170" s="264">
        <f t="shared" si="36"/>
        <v>0</v>
      </c>
      <c r="Z170" s="256"/>
      <c r="AA170" s="256"/>
    </row>
    <row r="171" spans="3:27" x14ac:dyDescent="0.35">
      <c r="D171" s="27"/>
      <c r="E171" s="27"/>
      <c r="F171" s="181" t="s">
        <v>197</v>
      </c>
      <c r="G171" t="s">
        <v>269</v>
      </c>
      <c r="H171" s="256"/>
      <c r="I171" s="256"/>
      <c r="J171" s="264">
        <f t="shared" ref="J171:Y171" si="37">hundred * $H37 * J62 / $H50 * J88 / hours_in_year</f>
        <v>0.93540946257990532</v>
      </c>
      <c r="K171" s="264">
        <f t="shared" si="37"/>
        <v>0.93540946257990532</v>
      </c>
      <c r="L171" s="264">
        <f t="shared" si="37"/>
        <v>0.87499645276381477</v>
      </c>
      <c r="M171" s="264">
        <f t="shared" si="37"/>
        <v>0.87499645276381477</v>
      </c>
      <c r="N171" s="264">
        <f t="shared" si="37"/>
        <v>0.76968254205064512</v>
      </c>
      <c r="O171" s="264">
        <f t="shared" si="37"/>
        <v>0.62613805171239811</v>
      </c>
      <c r="P171" s="264">
        <f t="shared" si="37"/>
        <v>0.63483629830197974</v>
      </c>
      <c r="Q171" s="264">
        <f t="shared" si="37"/>
        <v>1.9783044858225955</v>
      </c>
      <c r="R171" s="264">
        <f t="shared" si="37"/>
        <v>-0.64927791203871699</v>
      </c>
      <c r="S171" s="264">
        <f t="shared" si="37"/>
        <v>-0.62128152500585498</v>
      </c>
      <c r="T171" s="264">
        <f t="shared" si="37"/>
        <v>-0.64927791203871699</v>
      </c>
      <c r="U171" s="264">
        <f t="shared" si="37"/>
        <v>-0.64927791203871699</v>
      </c>
      <c r="V171" s="264">
        <f t="shared" si="37"/>
        <v>-0.62128152500585498</v>
      </c>
      <c r="W171" s="264">
        <f t="shared" si="37"/>
        <v>-0.62128152500585498</v>
      </c>
      <c r="X171" s="264">
        <f t="shared" si="37"/>
        <v>0</v>
      </c>
      <c r="Y171" s="264">
        <f t="shared" si="37"/>
        <v>0</v>
      </c>
      <c r="Z171" s="256"/>
      <c r="AA171" s="256"/>
    </row>
    <row r="172" spans="3:27" x14ac:dyDescent="0.35">
      <c r="D172" s="27"/>
      <c r="E172" s="27"/>
      <c r="F172" s="181" t="s">
        <v>198</v>
      </c>
      <c r="G172" t="s">
        <v>269</v>
      </c>
      <c r="H172" s="256"/>
      <c r="I172" s="256"/>
      <c r="J172" s="264">
        <f t="shared" ref="J172:Y172" si="38">hundred * $H38 * J63 / $H51 * J89 / hours_in_year</f>
        <v>0.35921908342276054</v>
      </c>
      <c r="K172" s="264">
        <f t="shared" si="38"/>
        <v>0.35921908342276054</v>
      </c>
      <c r="L172" s="264">
        <f t="shared" si="38"/>
        <v>0.33601907649414514</v>
      </c>
      <c r="M172" s="264">
        <f t="shared" si="38"/>
        <v>0.33601907649414514</v>
      </c>
      <c r="N172" s="264">
        <f t="shared" si="38"/>
        <v>0.29557607480191062</v>
      </c>
      <c r="O172" s="264">
        <f t="shared" si="38"/>
        <v>0.24045163752342016</v>
      </c>
      <c r="P172" s="264">
        <f t="shared" si="38"/>
        <v>0</v>
      </c>
      <c r="Q172" s="264">
        <f t="shared" si="38"/>
        <v>0.75971513284496317</v>
      </c>
      <c r="R172" s="264">
        <f t="shared" si="38"/>
        <v>-0.2493378844018998</v>
      </c>
      <c r="S172" s="264">
        <f t="shared" si="38"/>
        <v>0</v>
      </c>
      <c r="T172" s="264">
        <f t="shared" si="38"/>
        <v>-0.2493378844018998</v>
      </c>
      <c r="U172" s="264">
        <f t="shared" si="38"/>
        <v>-0.2493378844018998</v>
      </c>
      <c r="V172" s="264">
        <f t="shared" si="38"/>
        <v>0</v>
      </c>
      <c r="W172" s="264">
        <f t="shared" si="38"/>
        <v>0</v>
      </c>
      <c r="X172" s="264">
        <f t="shared" si="38"/>
        <v>0</v>
      </c>
      <c r="Y172" s="264">
        <f t="shared" si="38"/>
        <v>0</v>
      </c>
      <c r="Z172" s="256"/>
      <c r="AA172" s="256"/>
    </row>
    <row r="173" spans="3:27" x14ac:dyDescent="0.35">
      <c r="D173" s="27"/>
      <c r="E173" s="27"/>
      <c r="F173" s="182" t="s">
        <v>199</v>
      </c>
      <c r="G173" s="28" t="s">
        <v>269</v>
      </c>
      <c r="H173" s="258"/>
      <c r="I173" s="258"/>
      <c r="J173" s="265">
        <f t="shared" ref="J173:Y173" si="39">hundred * $H39 * J64 / $H52 * J90 / hours_in_year</f>
        <v>0.92821297024464766</v>
      </c>
      <c r="K173" s="265">
        <f t="shared" si="39"/>
        <v>0.92821297024464766</v>
      </c>
      <c r="L173" s="265">
        <f t="shared" si="39"/>
        <v>0.86826474272923249</v>
      </c>
      <c r="M173" s="265">
        <f t="shared" si="39"/>
        <v>0.86826474272923249</v>
      </c>
      <c r="N173" s="265">
        <f t="shared" si="39"/>
        <v>0.76376105554015783</v>
      </c>
      <c r="O173" s="265">
        <f t="shared" si="39"/>
        <v>0</v>
      </c>
      <c r="P173" s="265">
        <f t="shared" si="39"/>
        <v>0</v>
      </c>
      <c r="Q173" s="265">
        <f t="shared" si="39"/>
        <v>1.9630845702256738</v>
      </c>
      <c r="R173" s="265">
        <f t="shared" si="39"/>
        <v>0</v>
      </c>
      <c r="S173" s="265">
        <f t="shared" si="39"/>
        <v>0</v>
      </c>
      <c r="T173" s="265">
        <f t="shared" si="39"/>
        <v>0</v>
      </c>
      <c r="U173" s="265">
        <f t="shared" si="39"/>
        <v>0</v>
      </c>
      <c r="V173" s="265">
        <f t="shared" si="39"/>
        <v>0</v>
      </c>
      <c r="W173" s="265">
        <f t="shared" si="39"/>
        <v>0</v>
      </c>
      <c r="X173" s="265">
        <f t="shared" si="39"/>
        <v>0</v>
      </c>
      <c r="Y173" s="265">
        <f t="shared" si="39"/>
        <v>0</v>
      </c>
      <c r="Z173" s="256"/>
      <c r="AA173" s="256"/>
    </row>
    <row r="174" spans="3:27" x14ac:dyDescent="0.35">
      <c r="C174" s="27"/>
      <c r="D174" s="27"/>
      <c r="E174" s="27"/>
      <c r="J174" s="153"/>
      <c r="K174" s="153"/>
      <c r="L174" s="153"/>
      <c r="M174" s="153"/>
      <c r="N174" s="153"/>
      <c r="O174" s="153"/>
      <c r="P174" s="153"/>
      <c r="Q174" s="153"/>
      <c r="R174" s="153"/>
      <c r="S174" s="153"/>
      <c r="T174" s="153"/>
      <c r="U174" s="153"/>
      <c r="V174" s="153"/>
      <c r="W174" s="153"/>
      <c r="X174" s="153"/>
      <c r="Y174" s="153"/>
    </row>
    <row r="175" spans="3:27" x14ac:dyDescent="0.35">
      <c r="C175" s="26" t="str">
        <f ca="1">INDEX('Version control'!$H$38:$H$61,MATCH($A$1,'Version control'!$F$38:$F$61,0),1)&amp;"-D: Unit rate 2"</f>
        <v>Section 109-D: Unit rate 2</v>
      </c>
      <c r="D175" s="26"/>
      <c r="E175" s="26"/>
      <c r="F175" s="26"/>
      <c r="G175" s="26"/>
      <c r="H175" s="26"/>
      <c r="I175" s="26"/>
      <c r="J175" s="188"/>
      <c r="K175" s="188"/>
      <c r="L175" s="188"/>
      <c r="M175" s="188"/>
      <c r="N175" s="188"/>
      <c r="O175" s="188"/>
      <c r="P175" s="188"/>
      <c r="Q175" s="188"/>
      <c r="R175" s="188"/>
      <c r="S175" s="188"/>
      <c r="T175" s="188"/>
      <c r="U175" s="188"/>
      <c r="V175" s="188"/>
      <c r="W175" s="188"/>
      <c r="X175" s="188"/>
      <c r="Y175" s="188"/>
      <c r="Z175" s="26"/>
      <c r="AA175" s="26"/>
    </row>
    <row r="176" spans="3:27" x14ac:dyDescent="0.35">
      <c r="C176" s="27"/>
      <c r="D176" s="27"/>
      <c r="E176" s="27"/>
      <c r="J176" s="153"/>
      <c r="K176" s="153"/>
      <c r="L176" s="153"/>
      <c r="M176" s="153"/>
      <c r="N176" s="153"/>
      <c r="O176" s="153"/>
      <c r="P176" s="153"/>
      <c r="Q176" s="153"/>
      <c r="R176" s="153"/>
      <c r="S176" s="153"/>
      <c r="T176" s="153"/>
      <c r="U176" s="153"/>
      <c r="V176" s="153"/>
      <c r="W176" s="153"/>
      <c r="X176" s="153"/>
      <c r="Y176" s="153"/>
    </row>
    <row r="177" spans="4:27" x14ac:dyDescent="0.35">
      <c r="D177" s="24" t="s">
        <v>625</v>
      </c>
      <c r="E177" s="27"/>
      <c r="F177" s="27"/>
      <c r="J177" s="153"/>
      <c r="K177" s="153"/>
      <c r="L177" s="153"/>
      <c r="M177" s="153"/>
      <c r="N177" s="153"/>
      <c r="O177" s="153"/>
      <c r="P177" s="153"/>
      <c r="Q177" s="153"/>
      <c r="R177" s="153"/>
      <c r="S177" s="153"/>
      <c r="T177" s="153"/>
      <c r="U177" s="153"/>
      <c r="V177" s="153"/>
      <c r="W177" s="153"/>
      <c r="X177" s="153"/>
      <c r="Y177" s="153"/>
    </row>
    <row r="178" spans="4:27" x14ac:dyDescent="0.35">
      <c r="D178" s="24" t="s">
        <v>623</v>
      </c>
      <c r="E178" s="27"/>
      <c r="F178" s="27"/>
      <c r="J178" s="153"/>
      <c r="K178" s="153"/>
      <c r="L178" s="153"/>
      <c r="M178" s="153"/>
      <c r="N178" s="153"/>
      <c r="O178" s="153"/>
      <c r="P178" s="153"/>
      <c r="Q178" s="153"/>
      <c r="R178" s="153"/>
      <c r="S178" s="153"/>
      <c r="T178" s="153"/>
      <c r="U178" s="153"/>
      <c r="V178" s="153"/>
      <c r="W178" s="153"/>
      <c r="X178" s="153"/>
      <c r="Y178" s="153"/>
    </row>
    <row r="179" spans="4:27" x14ac:dyDescent="0.35">
      <c r="D179" s="27"/>
      <c r="E179" s="27"/>
      <c r="F179" s="27"/>
      <c r="I179" s="3" t="s">
        <v>154</v>
      </c>
      <c r="J179" s="153"/>
      <c r="K179" s="153"/>
      <c r="L179" s="153"/>
      <c r="M179" s="153"/>
      <c r="N179" s="153"/>
      <c r="O179" s="153"/>
      <c r="P179" s="153"/>
      <c r="Q179" s="153"/>
      <c r="R179" s="153"/>
      <c r="S179" s="153"/>
      <c r="T179" s="153"/>
      <c r="U179" s="153"/>
      <c r="V179" s="153"/>
      <c r="W179" s="153"/>
      <c r="X179" s="153"/>
      <c r="Y179" s="153"/>
      <c r="AA179" t="s">
        <v>624</v>
      </c>
    </row>
    <row r="180" spans="4:27" x14ac:dyDescent="0.35">
      <c r="E180" s="27" t="s">
        <v>620</v>
      </c>
      <c r="J180" s="153"/>
      <c r="K180" s="153"/>
      <c r="L180" s="153"/>
      <c r="M180" s="153"/>
      <c r="N180" s="153"/>
      <c r="O180" s="153"/>
      <c r="P180" s="153"/>
      <c r="Q180" s="153"/>
      <c r="R180" s="153"/>
      <c r="S180" s="153"/>
      <c r="T180" s="153"/>
      <c r="U180" s="153"/>
      <c r="V180" s="153"/>
      <c r="W180" s="153"/>
      <c r="X180" s="153"/>
      <c r="Y180" s="153"/>
    </row>
    <row r="181" spans="4:27" x14ac:dyDescent="0.35">
      <c r="E181" s="27"/>
      <c r="F181" s="180" t="s">
        <v>189</v>
      </c>
      <c r="G181" s="19" t="s">
        <v>269</v>
      </c>
      <c r="H181" s="255"/>
      <c r="I181" s="255"/>
      <c r="J181" s="263">
        <f t="shared" ref="J181:Y181" si="40">hundred * $H18 * J55 / $H43 * J93 * (1 - J67) / hours_in_year</f>
        <v>0</v>
      </c>
      <c r="K181" s="263">
        <f t="shared" si="40"/>
        <v>0</v>
      </c>
      <c r="L181" s="263">
        <f t="shared" si="40"/>
        <v>0</v>
      </c>
      <c r="M181" s="263">
        <f t="shared" si="40"/>
        <v>0</v>
      </c>
      <c r="N181" s="263">
        <f t="shared" si="40"/>
        <v>0</v>
      </c>
      <c r="O181" s="263">
        <f t="shared" si="40"/>
        <v>0</v>
      </c>
      <c r="P181" s="263">
        <f t="shared" si="40"/>
        <v>0</v>
      </c>
      <c r="Q181" s="263">
        <f t="shared" si="40"/>
        <v>0</v>
      </c>
      <c r="R181" s="263">
        <f t="shared" si="40"/>
        <v>0</v>
      </c>
      <c r="S181" s="263">
        <f t="shared" si="40"/>
        <v>0</v>
      </c>
      <c r="T181" s="263">
        <f t="shared" si="40"/>
        <v>0</v>
      </c>
      <c r="U181" s="263">
        <f t="shared" si="40"/>
        <v>0</v>
      </c>
      <c r="V181" s="263">
        <f t="shared" si="40"/>
        <v>0</v>
      </c>
      <c r="W181" s="263">
        <f t="shared" si="40"/>
        <v>0</v>
      </c>
      <c r="X181" s="263">
        <f t="shared" si="40"/>
        <v>0</v>
      </c>
      <c r="Y181" s="263">
        <f t="shared" si="40"/>
        <v>0</v>
      </c>
      <c r="Z181" s="256"/>
      <c r="AA181" s="256"/>
    </row>
    <row r="182" spans="4:27" x14ac:dyDescent="0.35">
      <c r="E182" s="27"/>
      <c r="F182" s="181" t="s">
        <v>191</v>
      </c>
      <c r="G182" t="s">
        <v>269</v>
      </c>
      <c r="H182" s="256"/>
      <c r="I182" s="256"/>
      <c r="J182" s="264">
        <f t="shared" ref="J182:Y182" si="41">hundred * $H19 * J56 / $H44 * J94 * (1 - J68) / hours_in_year</f>
        <v>0</v>
      </c>
      <c r="K182" s="264">
        <f t="shared" si="41"/>
        <v>0</v>
      </c>
      <c r="L182" s="264">
        <f t="shared" si="41"/>
        <v>0</v>
      </c>
      <c r="M182" s="264">
        <f t="shared" si="41"/>
        <v>0</v>
      </c>
      <c r="N182" s="264">
        <f t="shared" si="41"/>
        <v>0</v>
      </c>
      <c r="O182" s="264">
        <f t="shared" si="41"/>
        <v>0</v>
      </c>
      <c r="P182" s="264">
        <f t="shared" si="41"/>
        <v>0</v>
      </c>
      <c r="Q182" s="264">
        <f t="shared" si="41"/>
        <v>0</v>
      </c>
      <c r="R182" s="264">
        <f t="shared" si="41"/>
        <v>0</v>
      </c>
      <c r="S182" s="264">
        <f t="shared" si="41"/>
        <v>0</v>
      </c>
      <c r="T182" s="264">
        <f t="shared" si="41"/>
        <v>0</v>
      </c>
      <c r="U182" s="264">
        <f t="shared" si="41"/>
        <v>0</v>
      </c>
      <c r="V182" s="264">
        <f t="shared" si="41"/>
        <v>0</v>
      </c>
      <c r="W182" s="264">
        <f t="shared" si="41"/>
        <v>0</v>
      </c>
      <c r="X182" s="264">
        <f t="shared" si="41"/>
        <v>0</v>
      </c>
      <c r="Y182" s="264">
        <f t="shared" si="41"/>
        <v>0</v>
      </c>
      <c r="Z182" s="256"/>
      <c r="AA182" s="256"/>
    </row>
    <row r="183" spans="4:27" x14ac:dyDescent="0.35">
      <c r="E183" s="27"/>
      <c r="F183" s="181" t="s">
        <v>192</v>
      </c>
      <c r="G183" t="s">
        <v>269</v>
      </c>
      <c r="H183" s="256"/>
      <c r="I183" s="256"/>
      <c r="J183" s="264">
        <f t="shared" ref="J183:Y183" si="42">hundred * $H20 * J57 / $H45 * J95 * (1 - J69) / hours_in_year</f>
        <v>9.7267410910689162E-2</v>
      </c>
      <c r="K183" s="264">
        <f t="shared" si="42"/>
        <v>9.7267410910689162E-2</v>
      </c>
      <c r="L183" s="264">
        <f t="shared" si="42"/>
        <v>9.0985437844128284E-2</v>
      </c>
      <c r="M183" s="264">
        <f t="shared" si="42"/>
        <v>9.0985437844128284E-2</v>
      </c>
      <c r="N183" s="264">
        <f t="shared" si="42"/>
        <v>8.0034499417979438E-2</v>
      </c>
      <c r="O183" s="264">
        <f t="shared" si="42"/>
        <v>6.5108200845814812E-2</v>
      </c>
      <c r="P183" s="264">
        <f t="shared" si="42"/>
        <v>6.6012677397610492E-2</v>
      </c>
      <c r="Q183" s="264">
        <f t="shared" si="42"/>
        <v>7.9304438521386938E-2</v>
      </c>
      <c r="R183" s="264">
        <f t="shared" si="42"/>
        <v>-6.7514370970038623E-2</v>
      </c>
      <c r="S183" s="264">
        <f t="shared" si="42"/>
        <v>-6.4603200845642458E-2</v>
      </c>
      <c r="T183" s="264">
        <f t="shared" si="42"/>
        <v>-6.7514370970038623E-2</v>
      </c>
      <c r="U183" s="264">
        <f t="shared" si="42"/>
        <v>-6.7514370970038623E-2</v>
      </c>
      <c r="V183" s="264">
        <f t="shared" si="42"/>
        <v>-6.4603200845642458E-2</v>
      </c>
      <c r="W183" s="264">
        <f t="shared" si="42"/>
        <v>-6.4603200845642458E-2</v>
      </c>
      <c r="X183" s="264">
        <f t="shared" si="42"/>
        <v>-6.3612164207550143E-2</v>
      </c>
      <c r="Y183" s="264">
        <f t="shared" si="42"/>
        <v>-6.3612164207550143E-2</v>
      </c>
      <c r="Z183" s="256"/>
      <c r="AA183" s="256"/>
    </row>
    <row r="184" spans="4:27" x14ac:dyDescent="0.35">
      <c r="E184" s="27"/>
      <c r="F184" s="181" t="s">
        <v>193</v>
      </c>
      <c r="G184" t="s">
        <v>269</v>
      </c>
      <c r="H184" s="256"/>
      <c r="I184" s="256"/>
      <c r="J184" s="264">
        <f t="shared" ref="J184:Y184" si="43">hundred * $H21 * J58 / $H46 * J96 * (1 - J70) / hours_in_year</f>
        <v>2.5167734851741643E-2</v>
      </c>
      <c r="K184" s="264">
        <f t="shared" si="43"/>
        <v>2.5167734851741643E-2</v>
      </c>
      <c r="L184" s="264">
        <f t="shared" si="43"/>
        <v>2.3542287736364461E-2</v>
      </c>
      <c r="M184" s="264">
        <f t="shared" si="43"/>
        <v>2.3542287736364461E-2</v>
      </c>
      <c r="N184" s="264">
        <f t="shared" si="43"/>
        <v>2.0708755805097907E-2</v>
      </c>
      <c r="O184" s="264">
        <f t="shared" si="43"/>
        <v>1.6846607925711035E-2</v>
      </c>
      <c r="P184" s="264">
        <f t="shared" si="43"/>
        <v>1.7080639301914859E-2</v>
      </c>
      <c r="Q184" s="264">
        <f t="shared" si="43"/>
        <v>2.0519854107200999E-2</v>
      </c>
      <c r="R184" s="264">
        <f t="shared" si="43"/>
        <v>-1.7469199306808365E-2</v>
      </c>
      <c r="S184" s="264">
        <f t="shared" si="43"/>
        <v>-1.671594025412947E-2</v>
      </c>
      <c r="T184" s="264">
        <f t="shared" si="43"/>
        <v>-1.7469199306808365E-2</v>
      </c>
      <c r="U184" s="264">
        <f t="shared" si="43"/>
        <v>-1.7469199306808365E-2</v>
      </c>
      <c r="V184" s="264">
        <f t="shared" si="43"/>
        <v>-1.671594025412947E-2</v>
      </c>
      <c r="W184" s="264">
        <f t="shared" si="43"/>
        <v>-1.671594025412947E-2</v>
      </c>
      <c r="X184" s="264">
        <f t="shared" si="43"/>
        <v>-1.6459511640451546E-2</v>
      </c>
      <c r="Y184" s="264">
        <f t="shared" si="43"/>
        <v>-1.6459511640451546E-2</v>
      </c>
      <c r="Z184" s="256"/>
      <c r="AA184" s="256"/>
    </row>
    <row r="185" spans="4:27" x14ac:dyDescent="0.35">
      <c r="E185" s="27"/>
      <c r="F185" s="181" t="s">
        <v>194</v>
      </c>
      <c r="G185" t="s">
        <v>269</v>
      </c>
      <c r="H185" s="256"/>
      <c r="I185" s="256"/>
      <c r="J185" s="264">
        <f t="shared" ref="J185:Y185" si="44">hundred * $H22 * J59 / $H47 * J97 * (1 - J71) / hours_in_year</f>
        <v>0.10134289336074935</v>
      </c>
      <c r="K185" s="264">
        <f t="shared" si="44"/>
        <v>0.10134289336074935</v>
      </c>
      <c r="L185" s="264">
        <f t="shared" si="44"/>
        <v>9.4797707047893379E-2</v>
      </c>
      <c r="M185" s="264">
        <f t="shared" si="44"/>
        <v>9.4797707047893379E-2</v>
      </c>
      <c r="N185" s="264">
        <f t="shared" si="44"/>
        <v>8.3387926786132868E-2</v>
      </c>
      <c r="O185" s="264">
        <f t="shared" si="44"/>
        <v>6.7836219690130026E-2</v>
      </c>
      <c r="P185" s="264">
        <f t="shared" si="44"/>
        <v>6.7235346559306033E-2</v>
      </c>
      <c r="Q185" s="264">
        <f t="shared" si="44"/>
        <v>7.7388329627599034E-2</v>
      </c>
      <c r="R185" s="264">
        <f t="shared" si="44"/>
        <v>-7.0343207796670026E-2</v>
      </c>
      <c r="S185" s="264">
        <f t="shared" si="44"/>
        <v>-6.7310060304520011E-2</v>
      </c>
      <c r="T185" s="264">
        <f t="shared" si="44"/>
        <v>-7.0343207796670026E-2</v>
      </c>
      <c r="U185" s="264">
        <f t="shared" si="44"/>
        <v>-7.0343207796670026E-2</v>
      </c>
      <c r="V185" s="264">
        <f t="shared" si="44"/>
        <v>-6.7310060304520011E-2</v>
      </c>
      <c r="W185" s="264">
        <f t="shared" si="44"/>
        <v>-6.7310060304520011E-2</v>
      </c>
      <c r="X185" s="264">
        <f t="shared" si="44"/>
        <v>-6.4790371705737426E-2</v>
      </c>
      <c r="Y185" s="264">
        <f t="shared" si="44"/>
        <v>-6.4790371705737426E-2</v>
      </c>
      <c r="Z185" s="256"/>
      <c r="AA185" s="256"/>
    </row>
    <row r="186" spans="4:27" x14ac:dyDescent="0.35">
      <c r="E186" s="27"/>
      <c r="F186" s="181" t="s">
        <v>195</v>
      </c>
      <c r="G186" t="s">
        <v>269</v>
      </c>
      <c r="H186" s="256"/>
      <c r="I186" s="256"/>
      <c r="J186" s="264">
        <f t="shared" ref="J186:Y186" si="45">hundred * $H23 * J60 / $H48 * J98 * (1 - J72) / hours_in_year</f>
        <v>7.0825918681767311E-2</v>
      </c>
      <c r="K186" s="264">
        <f t="shared" si="45"/>
        <v>7.0825918681767311E-2</v>
      </c>
      <c r="L186" s="264">
        <f t="shared" si="45"/>
        <v>6.6251657792045213E-2</v>
      </c>
      <c r="M186" s="264">
        <f t="shared" si="45"/>
        <v>6.6251657792045213E-2</v>
      </c>
      <c r="N186" s="264">
        <f t="shared" si="45"/>
        <v>5.827765841036512E-2</v>
      </c>
      <c r="O186" s="264">
        <f t="shared" si="45"/>
        <v>4.7408973832520192E-2</v>
      </c>
      <c r="P186" s="264">
        <f t="shared" si="45"/>
        <v>4.5999223844210305E-2</v>
      </c>
      <c r="Q186" s="264">
        <f t="shared" si="45"/>
        <v>5.4084695624498427E-2</v>
      </c>
      <c r="R186" s="264">
        <f t="shared" si="45"/>
        <v>-4.9161042772745744E-2</v>
      </c>
      <c r="S186" s="264">
        <f t="shared" si="45"/>
        <v>-4.7041254689884224E-2</v>
      </c>
      <c r="T186" s="264">
        <f t="shared" si="45"/>
        <v>-4.9161042772745744E-2</v>
      </c>
      <c r="U186" s="264">
        <f t="shared" si="45"/>
        <v>-4.9161042772745744E-2</v>
      </c>
      <c r="V186" s="264">
        <f t="shared" si="45"/>
        <v>-4.7041254689884224E-2</v>
      </c>
      <c r="W186" s="264">
        <f t="shared" si="45"/>
        <v>-4.7041254689884224E-2</v>
      </c>
      <c r="X186" s="264">
        <f t="shared" si="45"/>
        <v>-4.4326488425444156E-2</v>
      </c>
      <c r="Y186" s="264">
        <f t="shared" si="45"/>
        <v>-4.4326488425444156E-2</v>
      </c>
      <c r="Z186" s="256"/>
      <c r="AA186" s="256"/>
    </row>
    <row r="187" spans="4:27" x14ac:dyDescent="0.35">
      <c r="E187" s="27"/>
      <c r="F187" s="181" t="s">
        <v>196</v>
      </c>
      <c r="G187" t="s">
        <v>269</v>
      </c>
      <c r="H187" s="256"/>
      <c r="I187" s="256"/>
      <c r="J187" s="264">
        <f t="shared" ref="J187:Y187" si="46">hundred * $H24 * J61 / $H49 * J99 * (1 - J73) / hours_in_year</f>
        <v>0</v>
      </c>
      <c r="K187" s="264">
        <f t="shared" si="46"/>
        <v>0</v>
      </c>
      <c r="L187" s="264">
        <f t="shared" si="46"/>
        <v>0</v>
      </c>
      <c r="M187" s="264">
        <f t="shared" si="46"/>
        <v>0</v>
      </c>
      <c r="N187" s="264">
        <f t="shared" si="46"/>
        <v>0</v>
      </c>
      <c r="O187" s="264">
        <f t="shared" si="46"/>
        <v>0</v>
      </c>
      <c r="P187" s="264">
        <f t="shared" si="46"/>
        <v>0</v>
      </c>
      <c r="Q187" s="264">
        <f t="shared" si="46"/>
        <v>0</v>
      </c>
      <c r="R187" s="264">
        <f t="shared" si="46"/>
        <v>0</v>
      </c>
      <c r="S187" s="264">
        <f t="shared" si="46"/>
        <v>0</v>
      </c>
      <c r="T187" s="264">
        <f t="shared" si="46"/>
        <v>0</v>
      </c>
      <c r="U187" s="264">
        <f t="shared" si="46"/>
        <v>0</v>
      </c>
      <c r="V187" s="264">
        <f t="shared" si="46"/>
        <v>0</v>
      </c>
      <c r="W187" s="264">
        <f t="shared" si="46"/>
        <v>0</v>
      </c>
      <c r="X187" s="264">
        <f t="shared" si="46"/>
        <v>0</v>
      </c>
      <c r="Y187" s="264">
        <f t="shared" si="46"/>
        <v>0</v>
      </c>
      <c r="Z187" s="256"/>
      <c r="AA187" s="256"/>
    </row>
    <row r="188" spans="4:27" x14ac:dyDescent="0.35">
      <c r="E188" s="27"/>
      <c r="F188" s="181" t="s">
        <v>197</v>
      </c>
      <c r="G188" t="s">
        <v>269</v>
      </c>
      <c r="H188" s="256"/>
      <c r="I188" s="256"/>
      <c r="J188" s="264">
        <f t="shared" ref="J188:Y188" si="47">hundred * $H25 * J62 / $H50 * J100 * (1 - J74) / hours_in_year</f>
        <v>0.24647577519482156</v>
      </c>
      <c r="K188" s="264">
        <f t="shared" si="47"/>
        <v>0.24647577519482156</v>
      </c>
      <c r="L188" s="264">
        <f t="shared" si="47"/>
        <v>0.23055724537237895</v>
      </c>
      <c r="M188" s="264">
        <f t="shared" si="47"/>
        <v>0.23055724537237895</v>
      </c>
      <c r="N188" s="264">
        <f t="shared" si="47"/>
        <v>0.20280754984307017</v>
      </c>
      <c r="O188" s="264">
        <f t="shared" si="47"/>
        <v>0.16498428533013207</v>
      </c>
      <c r="P188" s="264">
        <f t="shared" si="47"/>
        <v>0.15722402556587892</v>
      </c>
      <c r="Q188" s="264">
        <f t="shared" si="47"/>
        <v>0.18209562303668567</v>
      </c>
      <c r="R188" s="264">
        <f t="shared" si="47"/>
        <v>-0.17108152428268558</v>
      </c>
      <c r="S188" s="264">
        <f t="shared" si="47"/>
        <v>-0.16370461452003765</v>
      </c>
      <c r="T188" s="264">
        <f t="shared" si="47"/>
        <v>-0.17108152428268558</v>
      </c>
      <c r="U188" s="264">
        <f t="shared" si="47"/>
        <v>-0.17108152428268558</v>
      </c>
      <c r="V188" s="264">
        <f t="shared" si="47"/>
        <v>-0.16370461452003765</v>
      </c>
      <c r="W188" s="264">
        <f t="shared" si="47"/>
        <v>-0.16370461452003765</v>
      </c>
      <c r="X188" s="264">
        <f t="shared" si="47"/>
        <v>0</v>
      </c>
      <c r="Y188" s="264">
        <f t="shared" si="47"/>
        <v>0</v>
      </c>
      <c r="Z188" s="256"/>
      <c r="AA188" s="256"/>
    </row>
    <row r="189" spans="4:27" x14ac:dyDescent="0.35">
      <c r="E189" s="27"/>
      <c r="F189" s="181" t="s">
        <v>198</v>
      </c>
      <c r="G189" t="s">
        <v>269</v>
      </c>
      <c r="H189" s="256"/>
      <c r="I189" s="256"/>
      <c r="J189" s="264">
        <f t="shared" ref="J189:Y189" si="48">hundred * $H26 * J63 / $H51 * J101 * (1 - J75) / hours_in_year</f>
        <v>8.3153330432957362E-2</v>
      </c>
      <c r="K189" s="264">
        <f t="shared" si="48"/>
        <v>8.3153330432957362E-2</v>
      </c>
      <c r="L189" s="264">
        <f t="shared" si="48"/>
        <v>7.7782909062799638E-2</v>
      </c>
      <c r="M189" s="264">
        <f t="shared" si="48"/>
        <v>7.7782909062799638E-2</v>
      </c>
      <c r="N189" s="264">
        <f t="shared" si="48"/>
        <v>6.8421017006922463E-2</v>
      </c>
      <c r="O189" s="264">
        <f t="shared" si="48"/>
        <v>5.5660613232508961E-2</v>
      </c>
      <c r="P189" s="264">
        <f t="shared" si="48"/>
        <v>0</v>
      </c>
      <c r="Q189" s="264">
        <f t="shared" si="48"/>
        <v>6.1433451221712176E-2</v>
      </c>
      <c r="R189" s="264">
        <f t="shared" si="48"/>
        <v>-5.7717633744766725E-2</v>
      </c>
      <c r="S189" s="264">
        <f t="shared" si="48"/>
        <v>0</v>
      </c>
      <c r="T189" s="264">
        <f t="shared" si="48"/>
        <v>-5.7717633744766725E-2</v>
      </c>
      <c r="U189" s="264">
        <f t="shared" si="48"/>
        <v>-5.7717633744766725E-2</v>
      </c>
      <c r="V189" s="264">
        <f t="shared" si="48"/>
        <v>0</v>
      </c>
      <c r="W189" s="264">
        <f t="shared" si="48"/>
        <v>0</v>
      </c>
      <c r="X189" s="264">
        <f t="shared" si="48"/>
        <v>0</v>
      </c>
      <c r="Y189" s="264">
        <f t="shared" si="48"/>
        <v>0</v>
      </c>
      <c r="Z189" s="256"/>
      <c r="AA189" s="256"/>
    </row>
    <row r="190" spans="4:27" x14ac:dyDescent="0.35">
      <c r="E190" s="27"/>
      <c r="F190" s="182" t="s">
        <v>199</v>
      </c>
      <c r="G190" s="28" t="s">
        <v>269</v>
      </c>
      <c r="H190" s="258"/>
      <c r="I190" s="258"/>
      <c r="J190" s="265">
        <f t="shared" ref="J190:Y190" si="49">hundred * $H27 * J64 / $H52 * J102 * (1 - J76) / hours_in_year</f>
        <v>1.6415854684134815E-2</v>
      </c>
      <c r="K190" s="265">
        <f t="shared" si="49"/>
        <v>1.6415854684134815E-2</v>
      </c>
      <c r="L190" s="265">
        <f t="shared" si="49"/>
        <v>1.5355643910302242E-2</v>
      </c>
      <c r="M190" s="265">
        <f t="shared" si="49"/>
        <v>1.5355643910302242E-2</v>
      </c>
      <c r="N190" s="265">
        <f t="shared" si="49"/>
        <v>1.3507450232939627E-2</v>
      </c>
      <c r="O190" s="265">
        <f t="shared" si="49"/>
        <v>0</v>
      </c>
      <c r="P190" s="265">
        <f t="shared" si="49"/>
        <v>0</v>
      </c>
      <c r="Q190" s="265">
        <f t="shared" si="49"/>
        <v>1.2127988172567588E-2</v>
      </c>
      <c r="R190" s="265">
        <f t="shared" si="49"/>
        <v>0</v>
      </c>
      <c r="S190" s="265">
        <f t="shared" si="49"/>
        <v>0</v>
      </c>
      <c r="T190" s="265">
        <f t="shared" si="49"/>
        <v>0</v>
      </c>
      <c r="U190" s="265">
        <f t="shared" si="49"/>
        <v>0</v>
      </c>
      <c r="V190" s="265">
        <f t="shared" si="49"/>
        <v>0</v>
      </c>
      <c r="W190" s="265">
        <f t="shared" si="49"/>
        <v>0</v>
      </c>
      <c r="X190" s="265">
        <f t="shared" si="49"/>
        <v>0</v>
      </c>
      <c r="Y190" s="265">
        <f t="shared" si="49"/>
        <v>0</v>
      </c>
      <c r="Z190" s="256"/>
      <c r="AA190" s="256"/>
    </row>
    <row r="191" spans="4:27" x14ac:dyDescent="0.35">
      <c r="E191" s="27"/>
      <c r="F191" s="181"/>
      <c r="J191" s="153"/>
      <c r="K191" s="153"/>
      <c r="L191" s="153"/>
      <c r="M191" s="153"/>
      <c r="N191" s="153"/>
      <c r="O191" s="153"/>
      <c r="P191" s="153"/>
      <c r="Q191" s="153"/>
      <c r="R191" s="153"/>
      <c r="S191" s="153"/>
      <c r="T191" s="153"/>
      <c r="U191" s="153"/>
      <c r="V191" s="153"/>
      <c r="W191" s="153"/>
      <c r="X191" s="153"/>
      <c r="Y191" s="153"/>
    </row>
    <row r="192" spans="4:27" x14ac:dyDescent="0.35">
      <c r="E192" s="27" t="s">
        <v>621</v>
      </c>
      <c r="J192" s="153"/>
      <c r="K192" s="153"/>
      <c r="L192" s="153"/>
      <c r="M192" s="153"/>
      <c r="N192" s="153"/>
      <c r="O192" s="153"/>
      <c r="P192" s="153"/>
      <c r="Q192" s="153"/>
      <c r="R192" s="153"/>
      <c r="S192" s="153"/>
      <c r="T192" s="153"/>
      <c r="U192" s="153"/>
      <c r="V192" s="153"/>
      <c r="W192" s="153"/>
      <c r="X192" s="153"/>
      <c r="Y192" s="153"/>
    </row>
    <row r="193" spans="3:27" x14ac:dyDescent="0.35">
      <c r="D193" s="27"/>
      <c r="E193" s="27"/>
      <c r="F193" s="180" t="s">
        <v>189</v>
      </c>
      <c r="G193" s="19" t="s">
        <v>269</v>
      </c>
      <c r="H193" s="255"/>
      <c r="I193" s="255"/>
      <c r="J193" s="263">
        <f t="shared" ref="J193:Y193" si="50">hundred * $H30 * J55 / $H43 * J93 / hours_in_year</f>
        <v>1.5245074587689362E-2</v>
      </c>
      <c r="K193" s="263">
        <f t="shared" si="50"/>
        <v>1.5245074587689362E-2</v>
      </c>
      <c r="L193" s="263">
        <f t="shared" si="50"/>
        <v>1.426047813281393E-2</v>
      </c>
      <c r="M193" s="263">
        <f t="shared" si="50"/>
        <v>1.426047813281393E-2</v>
      </c>
      <c r="N193" s="263">
        <f t="shared" si="50"/>
        <v>1.2544097779427905E-2</v>
      </c>
      <c r="O193" s="263">
        <f t="shared" si="50"/>
        <v>1.0204644791831582E-2</v>
      </c>
      <c r="P193" s="263">
        <f t="shared" si="50"/>
        <v>1.0346406686857264E-2</v>
      </c>
      <c r="Q193" s="263">
        <f t="shared" si="50"/>
        <v>2.4178941250542197E-2</v>
      </c>
      <c r="R193" s="263">
        <f t="shared" si="50"/>
        <v>-1.0581772574621475E-2</v>
      </c>
      <c r="S193" s="263">
        <f t="shared" si="50"/>
        <v>-1.0125494307642383E-2</v>
      </c>
      <c r="T193" s="263">
        <f t="shared" si="50"/>
        <v>-1.0581772574621475E-2</v>
      </c>
      <c r="U193" s="263">
        <f t="shared" si="50"/>
        <v>-1.0581772574621475E-2</v>
      </c>
      <c r="V193" s="263">
        <f t="shared" si="50"/>
        <v>-1.0125494307642383E-2</v>
      </c>
      <c r="W193" s="263">
        <f t="shared" si="50"/>
        <v>-1.0125494307642383E-2</v>
      </c>
      <c r="X193" s="263">
        <f t="shared" si="50"/>
        <v>-9.9701655359048201E-3</v>
      </c>
      <c r="Y193" s="263">
        <f t="shared" si="50"/>
        <v>-9.9701655359048201E-3</v>
      </c>
      <c r="Z193" s="256"/>
      <c r="AA193" s="256"/>
    </row>
    <row r="194" spans="3:27" x14ac:dyDescent="0.35">
      <c r="D194" s="27"/>
      <c r="E194" s="27"/>
      <c r="F194" s="181" t="s">
        <v>191</v>
      </c>
      <c r="G194" t="s">
        <v>269</v>
      </c>
      <c r="H194" s="256"/>
      <c r="I194" s="256"/>
      <c r="J194" s="264">
        <f t="shared" ref="J194:Y194" si="51">hundred * $H31 * J56 / $H44 * J94 / hours_in_year</f>
        <v>0</v>
      </c>
      <c r="K194" s="264">
        <f t="shared" si="51"/>
        <v>0</v>
      </c>
      <c r="L194" s="264">
        <f t="shared" si="51"/>
        <v>0</v>
      </c>
      <c r="M194" s="264">
        <f t="shared" si="51"/>
        <v>0</v>
      </c>
      <c r="N194" s="264">
        <f t="shared" si="51"/>
        <v>0</v>
      </c>
      <c r="O194" s="264">
        <f t="shared" si="51"/>
        <v>0</v>
      </c>
      <c r="P194" s="264">
        <f t="shared" si="51"/>
        <v>0</v>
      </c>
      <c r="Q194" s="264">
        <f t="shared" si="51"/>
        <v>0</v>
      </c>
      <c r="R194" s="264">
        <f t="shared" si="51"/>
        <v>0</v>
      </c>
      <c r="S194" s="264">
        <f t="shared" si="51"/>
        <v>0</v>
      </c>
      <c r="T194" s="264">
        <f t="shared" si="51"/>
        <v>0</v>
      </c>
      <c r="U194" s="264">
        <f t="shared" si="51"/>
        <v>0</v>
      </c>
      <c r="V194" s="264">
        <f t="shared" si="51"/>
        <v>0</v>
      </c>
      <c r="W194" s="264">
        <f t="shared" si="51"/>
        <v>0</v>
      </c>
      <c r="X194" s="264">
        <f t="shared" si="51"/>
        <v>0</v>
      </c>
      <c r="Y194" s="264">
        <f t="shared" si="51"/>
        <v>0</v>
      </c>
      <c r="Z194" s="256"/>
      <c r="AA194" s="256"/>
    </row>
    <row r="195" spans="3:27" x14ac:dyDescent="0.35">
      <c r="D195" s="27"/>
      <c r="E195" s="27"/>
      <c r="F195" s="181" t="s">
        <v>192</v>
      </c>
      <c r="G195" t="s">
        <v>269</v>
      </c>
      <c r="H195" s="256"/>
      <c r="I195" s="256"/>
      <c r="J195" s="264">
        <f t="shared" ref="J195:Y195" si="52">hundred * $H32 * J57 / $H45 * J95 / hours_in_year</f>
        <v>6.4796096117450533E-2</v>
      </c>
      <c r="K195" s="264">
        <f t="shared" si="52"/>
        <v>6.4796096117450533E-2</v>
      </c>
      <c r="L195" s="264">
        <f t="shared" si="52"/>
        <v>6.0611268673016278E-2</v>
      </c>
      <c r="M195" s="264">
        <f t="shared" si="52"/>
        <v>6.0611268673016278E-2</v>
      </c>
      <c r="N195" s="264">
        <f t="shared" si="52"/>
        <v>5.33161422561267E-2</v>
      </c>
      <c r="O195" s="264">
        <f t="shared" si="52"/>
        <v>4.3372772036806326E-2</v>
      </c>
      <c r="P195" s="264">
        <f t="shared" si="52"/>
        <v>4.3975302206340147E-2</v>
      </c>
      <c r="Q195" s="264">
        <f t="shared" si="52"/>
        <v>5.2829801604265043E-2</v>
      </c>
      <c r="R195" s="264">
        <f t="shared" si="52"/>
        <v>-4.4975677153580751E-2</v>
      </c>
      <c r="S195" s="264">
        <f t="shared" si="52"/>
        <v>-4.3036358964389648E-2</v>
      </c>
      <c r="T195" s="264">
        <f t="shared" si="52"/>
        <v>-4.4975677153580751E-2</v>
      </c>
      <c r="U195" s="264">
        <f t="shared" si="52"/>
        <v>-4.4975677153580751E-2</v>
      </c>
      <c r="V195" s="264">
        <f t="shared" si="52"/>
        <v>-4.3036358964389648E-2</v>
      </c>
      <c r="W195" s="264">
        <f t="shared" si="52"/>
        <v>-4.3036358964389648E-2</v>
      </c>
      <c r="X195" s="264">
        <f t="shared" si="52"/>
        <v>-4.2376165538282037E-2</v>
      </c>
      <c r="Y195" s="264">
        <f t="shared" si="52"/>
        <v>-4.2376165538282037E-2</v>
      </c>
      <c r="Z195" s="256"/>
      <c r="AA195" s="256"/>
    </row>
    <row r="196" spans="3:27" x14ac:dyDescent="0.35">
      <c r="D196" s="27"/>
      <c r="E196" s="27"/>
      <c r="F196" s="181" t="s">
        <v>193</v>
      </c>
      <c r="G196" t="s">
        <v>269</v>
      </c>
      <c r="H196" s="256"/>
      <c r="I196" s="256"/>
      <c r="J196" s="264">
        <f t="shared" ref="J196:Y196" si="53">hundred * $H33 * J58 / $H46 * J96 / hours_in_year</f>
        <v>1.6765851493768382E-2</v>
      </c>
      <c r="K196" s="264">
        <f t="shared" si="53"/>
        <v>1.6765851493768382E-2</v>
      </c>
      <c r="L196" s="264">
        <f t="shared" si="53"/>
        <v>1.5683036329514451E-2</v>
      </c>
      <c r="M196" s="264">
        <f t="shared" si="53"/>
        <v>1.5683036329514451E-2</v>
      </c>
      <c r="N196" s="264">
        <f t="shared" si="53"/>
        <v>1.3795437948399979E-2</v>
      </c>
      <c r="O196" s="264">
        <f t="shared" si="53"/>
        <v>1.122261213891749E-2</v>
      </c>
      <c r="P196" s="264">
        <f t="shared" si="53"/>
        <v>1.13785155335388E-2</v>
      </c>
      <c r="Q196" s="264">
        <f t="shared" si="53"/>
        <v>1.3669598343345451E-2</v>
      </c>
      <c r="R196" s="264">
        <f t="shared" si="53"/>
        <v>-1.1637360414766228E-2</v>
      </c>
      <c r="S196" s="264">
        <f t="shared" si="53"/>
        <v>-1.1135565974863459E-2</v>
      </c>
      <c r="T196" s="264">
        <f t="shared" si="53"/>
        <v>-1.1637360414766228E-2</v>
      </c>
      <c r="U196" s="264">
        <f t="shared" si="53"/>
        <v>-1.1637360414766228E-2</v>
      </c>
      <c r="V196" s="264">
        <f t="shared" si="53"/>
        <v>-1.1135565974863459E-2</v>
      </c>
      <c r="W196" s="264">
        <f t="shared" si="53"/>
        <v>-1.1135565974863459E-2</v>
      </c>
      <c r="X196" s="264">
        <f t="shared" si="53"/>
        <v>-1.0964742335747625E-2</v>
      </c>
      <c r="Y196" s="264">
        <f t="shared" si="53"/>
        <v>-1.0964742335747625E-2</v>
      </c>
      <c r="Z196" s="256"/>
      <c r="AA196" s="256"/>
    </row>
    <row r="197" spans="3:27" x14ac:dyDescent="0.35">
      <c r="D197" s="27"/>
      <c r="E197" s="27"/>
      <c r="F197" s="181" t="s">
        <v>194</v>
      </c>
      <c r="G197" t="s">
        <v>269</v>
      </c>
      <c r="H197" s="256"/>
      <c r="I197" s="256"/>
      <c r="J197" s="264">
        <f t="shared" ref="J197:Y197" si="54">hundred * $H34 * J59 / $H47 * J97 / hours_in_year</f>
        <v>6.8356637697647854E-2</v>
      </c>
      <c r="K197" s="264">
        <f t="shared" si="54"/>
        <v>6.8356637697647854E-2</v>
      </c>
      <c r="L197" s="264">
        <f t="shared" si="54"/>
        <v>6.3941854237115806E-2</v>
      </c>
      <c r="M197" s="264">
        <f t="shared" si="54"/>
        <v>6.3941854237115806E-2</v>
      </c>
      <c r="N197" s="264">
        <f t="shared" si="54"/>
        <v>5.6245861062867136E-2</v>
      </c>
      <c r="O197" s="264">
        <f t="shared" si="54"/>
        <v>4.5756103248698256E-2</v>
      </c>
      <c r="P197" s="264">
        <f t="shared" si="54"/>
        <v>4.6391742414768858E-2</v>
      </c>
      <c r="Q197" s="264">
        <f t="shared" si="54"/>
        <v>5.2199082095960581E-2</v>
      </c>
      <c r="R197" s="264">
        <f t="shared" si="54"/>
        <v>-4.7447087905126445E-2</v>
      </c>
      <c r="S197" s="264">
        <f t="shared" si="54"/>
        <v>-4.5401204298208146E-2</v>
      </c>
      <c r="T197" s="264">
        <f t="shared" si="54"/>
        <v>-4.7447087905126445E-2</v>
      </c>
      <c r="U197" s="264">
        <f t="shared" si="54"/>
        <v>-4.7447087905126445E-2</v>
      </c>
      <c r="V197" s="264">
        <f t="shared" si="54"/>
        <v>-4.5401204298208146E-2</v>
      </c>
      <c r="W197" s="264">
        <f t="shared" si="54"/>
        <v>-4.5401204298208146E-2</v>
      </c>
      <c r="X197" s="264">
        <f t="shared" si="54"/>
        <v>-4.4704733283087029E-2</v>
      </c>
      <c r="Y197" s="264">
        <f t="shared" si="54"/>
        <v>-4.4704733283087029E-2</v>
      </c>
      <c r="Z197" s="256"/>
      <c r="AA197" s="256"/>
    </row>
    <row r="198" spans="3:27" x14ac:dyDescent="0.35">
      <c r="D198" s="27"/>
      <c r="E198" s="27"/>
      <c r="F198" s="181" t="s">
        <v>195</v>
      </c>
      <c r="G198" t="s">
        <v>269</v>
      </c>
      <c r="H198" s="256"/>
      <c r="I198" s="256"/>
      <c r="J198" s="264">
        <f t="shared" ref="J198:Y198" si="55">hundred * $H35 * J60 / $H48 * J98 / hours_in_year</f>
        <v>4.836178501447682E-2</v>
      </c>
      <c r="K198" s="264">
        <f t="shared" si="55"/>
        <v>4.836178501447682E-2</v>
      </c>
      <c r="L198" s="264">
        <f t="shared" si="55"/>
        <v>4.5238360343589801E-2</v>
      </c>
      <c r="M198" s="264">
        <f t="shared" si="55"/>
        <v>4.5238360343589801E-2</v>
      </c>
      <c r="N198" s="264">
        <f t="shared" si="55"/>
        <v>3.9793505536480082E-2</v>
      </c>
      <c r="O198" s="264">
        <f t="shared" si="55"/>
        <v>3.2372084159573766E-2</v>
      </c>
      <c r="P198" s="264">
        <f t="shared" si="55"/>
        <v>3.2821793883920626E-2</v>
      </c>
      <c r="Q198" s="264">
        <f t="shared" si="55"/>
        <v>3.6930441158382739E-2</v>
      </c>
      <c r="R198" s="264">
        <f t="shared" si="55"/>
        <v>-3.3568442540725878E-2</v>
      </c>
      <c r="S198" s="264">
        <f t="shared" si="55"/>
        <v>-3.2120995935758796E-2</v>
      </c>
      <c r="T198" s="264">
        <f t="shared" si="55"/>
        <v>-3.3568442540725878E-2</v>
      </c>
      <c r="U198" s="264">
        <f t="shared" si="55"/>
        <v>-3.3568442540725878E-2</v>
      </c>
      <c r="V198" s="264">
        <f t="shared" si="55"/>
        <v>-3.2120995935758796E-2</v>
      </c>
      <c r="W198" s="264">
        <f t="shared" si="55"/>
        <v>-3.2120995935758796E-2</v>
      </c>
      <c r="X198" s="264">
        <f t="shared" si="55"/>
        <v>-3.1628248155344471E-2</v>
      </c>
      <c r="Y198" s="264">
        <f t="shared" si="55"/>
        <v>-3.1628248155344471E-2</v>
      </c>
      <c r="Z198" s="256"/>
      <c r="AA198" s="256"/>
    </row>
    <row r="199" spans="3:27" x14ac:dyDescent="0.35">
      <c r="D199" s="27"/>
      <c r="E199" s="27"/>
      <c r="F199" s="181" t="s">
        <v>196</v>
      </c>
      <c r="G199" t="s">
        <v>269</v>
      </c>
      <c r="H199" s="256"/>
      <c r="I199" s="256"/>
      <c r="J199" s="264">
        <f t="shared" ref="J199:Y199" si="56">hundred * $H36 * J61 / $H49 * J99 / hours_in_year</f>
        <v>0</v>
      </c>
      <c r="K199" s="264">
        <f t="shared" si="56"/>
        <v>0</v>
      </c>
      <c r="L199" s="264">
        <f t="shared" si="56"/>
        <v>0</v>
      </c>
      <c r="M199" s="264">
        <f t="shared" si="56"/>
        <v>0</v>
      </c>
      <c r="N199" s="264">
        <f t="shared" si="56"/>
        <v>0</v>
      </c>
      <c r="O199" s="264">
        <f t="shared" si="56"/>
        <v>0</v>
      </c>
      <c r="P199" s="264">
        <f t="shared" si="56"/>
        <v>0</v>
      </c>
      <c r="Q199" s="264">
        <f t="shared" si="56"/>
        <v>0</v>
      </c>
      <c r="R199" s="264">
        <f t="shared" si="56"/>
        <v>0</v>
      </c>
      <c r="S199" s="264">
        <f t="shared" si="56"/>
        <v>0</v>
      </c>
      <c r="T199" s="264">
        <f t="shared" si="56"/>
        <v>0</v>
      </c>
      <c r="U199" s="264">
        <f t="shared" si="56"/>
        <v>0</v>
      </c>
      <c r="V199" s="264">
        <f t="shared" si="56"/>
        <v>0</v>
      </c>
      <c r="W199" s="264">
        <f t="shared" si="56"/>
        <v>0</v>
      </c>
      <c r="X199" s="264">
        <f t="shared" si="56"/>
        <v>0</v>
      </c>
      <c r="Y199" s="264">
        <f t="shared" si="56"/>
        <v>0</v>
      </c>
      <c r="Z199" s="256"/>
      <c r="AA199" s="256"/>
    </row>
    <row r="200" spans="3:27" x14ac:dyDescent="0.35">
      <c r="D200" s="27"/>
      <c r="E200" s="27"/>
      <c r="F200" s="181" t="s">
        <v>197</v>
      </c>
      <c r="G200" t="s">
        <v>269</v>
      </c>
      <c r="H200" s="256"/>
      <c r="I200" s="256"/>
      <c r="J200" s="264">
        <f t="shared" ref="J200:Y200" si="57">hundred * $H37 * J62 / $H50 * J100 / hours_in_year</f>
        <v>0.25021828823903691</v>
      </c>
      <c r="K200" s="264">
        <f t="shared" si="57"/>
        <v>0.25021828823903691</v>
      </c>
      <c r="L200" s="264">
        <f t="shared" si="57"/>
        <v>0.23405804985331607</v>
      </c>
      <c r="M200" s="264">
        <f t="shared" si="57"/>
        <v>0.23405804985331607</v>
      </c>
      <c r="N200" s="264">
        <f t="shared" si="57"/>
        <v>0.20588700014666736</v>
      </c>
      <c r="O200" s="264">
        <f t="shared" si="57"/>
        <v>0.16748942336834502</v>
      </c>
      <c r="P200" s="264">
        <f t="shared" si="57"/>
        <v>0.16981616952539519</v>
      </c>
      <c r="Q200" s="264">
        <f t="shared" si="57"/>
        <v>0.18486058135346403</v>
      </c>
      <c r="R200" s="264">
        <f t="shared" si="57"/>
        <v>-0.17367924341247068</v>
      </c>
      <c r="S200" s="264">
        <f t="shared" si="57"/>
        <v>-0.1661903219075293</v>
      </c>
      <c r="T200" s="264">
        <f t="shared" si="57"/>
        <v>-0.17367924341247068</v>
      </c>
      <c r="U200" s="264">
        <f t="shared" si="57"/>
        <v>-0.17367924341247068</v>
      </c>
      <c r="V200" s="264">
        <f t="shared" si="57"/>
        <v>-0.1661903219075293</v>
      </c>
      <c r="W200" s="264">
        <f t="shared" si="57"/>
        <v>-0.1661903219075293</v>
      </c>
      <c r="X200" s="264">
        <f t="shared" si="57"/>
        <v>0</v>
      </c>
      <c r="Y200" s="264">
        <f t="shared" si="57"/>
        <v>0</v>
      </c>
      <c r="Z200" s="256"/>
      <c r="AA200" s="256"/>
    </row>
    <row r="201" spans="3:27" x14ac:dyDescent="0.35">
      <c r="D201" s="27"/>
      <c r="E201" s="27"/>
      <c r="F201" s="181" t="s">
        <v>198</v>
      </c>
      <c r="G201" t="s">
        <v>269</v>
      </c>
      <c r="H201" s="256"/>
      <c r="I201" s="256"/>
      <c r="J201" s="264">
        <f t="shared" ref="J201:Y201" si="58">hundred * $H38 * J63 / $H51 * J101 / hours_in_year</f>
        <v>9.6089667415739752E-2</v>
      </c>
      <c r="K201" s="264">
        <f t="shared" si="58"/>
        <v>9.6089667415739752E-2</v>
      </c>
      <c r="L201" s="264">
        <f t="shared" si="58"/>
        <v>8.988375839617381E-2</v>
      </c>
      <c r="M201" s="264">
        <f t="shared" si="58"/>
        <v>8.988375839617381E-2</v>
      </c>
      <c r="N201" s="264">
        <f t="shared" si="58"/>
        <v>7.9065417274448269E-2</v>
      </c>
      <c r="O201" s="264">
        <f t="shared" si="58"/>
        <v>6.4319850880537863E-2</v>
      </c>
      <c r="P201" s="264">
        <f t="shared" si="58"/>
        <v>0</v>
      </c>
      <c r="Q201" s="264">
        <f t="shared" si="58"/>
        <v>7.0990781311577197E-2</v>
      </c>
      <c r="R201" s="264">
        <f t="shared" si="58"/>
        <v>-6.6696886362593105E-2</v>
      </c>
      <c r="S201" s="264">
        <f t="shared" si="58"/>
        <v>0</v>
      </c>
      <c r="T201" s="264">
        <f t="shared" si="58"/>
        <v>-6.6696886362593105E-2</v>
      </c>
      <c r="U201" s="264">
        <f t="shared" si="58"/>
        <v>-6.6696886362593105E-2</v>
      </c>
      <c r="V201" s="264">
        <f t="shared" si="58"/>
        <v>0</v>
      </c>
      <c r="W201" s="264">
        <f t="shared" si="58"/>
        <v>0</v>
      </c>
      <c r="X201" s="264">
        <f t="shared" si="58"/>
        <v>0</v>
      </c>
      <c r="Y201" s="264">
        <f t="shared" si="58"/>
        <v>0</v>
      </c>
      <c r="Z201" s="256"/>
      <c r="AA201" s="256"/>
    </row>
    <row r="202" spans="3:27" x14ac:dyDescent="0.35">
      <c r="D202" s="27"/>
      <c r="E202" s="27"/>
      <c r="F202" s="182" t="s">
        <v>199</v>
      </c>
      <c r="G202" s="28" t="s">
        <v>269</v>
      </c>
      <c r="H202" s="258"/>
      <c r="I202" s="258"/>
      <c r="J202" s="265">
        <f t="shared" ref="J202:Y202" si="59">hundred * $H39 * J64 / $H52 * J102 / hours_in_year</f>
        <v>0.24829325533581278</v>
      </c>
      <c r="K202" s="265">
        <f t="shared" si="59"/>
        <v>0.24829325533581278</v>
      </c>
      <c r="L202" s="265">
        <f t="shared" si="59"/>
        <v>0.23225734435571604</v>
      </c>
      <c r="M202" s="265">
        <f t="shared" si="59"/>
        <v>0.23225734435571604</v>
      </c>
      <c r="N202" s="265">
        <f t="shared" si="59"/>
        <v>0.20430302619968782</v>
      </c>
      <c r="O202" s="265">
        <f t="shared" si="59"/>
        <v>0</v>
      </c>
      <c r="P202" s="265">
        <f t="shared" si="59"/>
        <v>0</v>
      </c>
      <c r="Q202" s="265">
        <f t="shared" si="59"/>
        <v>0.18343837235299884</v>
      </c>
      <c r="R202" s="265">
        <f t="shared" si="59"/>
        <v>0</v>
      </c>
      <c r="S202" s="265">
        <f t="shared" si="59"/>
        <v>0</v>
      </c>
      <c r="T202" s="265">
        <f t="shared" si="59"/>
        <v>0</v>
      </c>
      <c r="U202" s="265">
        <f t="shared" si="59"/>
        <v>0</v>
      </c>
      <c r="V202" s="265">
        <f t="shared" si="59"/>
        <v>0</v>
      </c>
      <c r="W202" s="265">
        <f t="shared" si="59"/>
        <v>0</v>
      </c>
      <c r="X202" s="265">
        <f t="shared" si="59"/>
        <v>0</v>
      </c>
      <c r="Y202" s="265">
        <f t="shared" si="59"/>
        <v>0</v>
      </c>
      <c r="Z202" s="256"/>
      <c r="AA202" s="256"/>
    </row>
    <row r="203" spans="3:27" x14ac:dyDescent="0.35">
      <c r="C203" s="27"/>
      <c r="D203" s="27"/>
      <c r="E203" s="27"/>
      <c r="J203" s="153"/>
      <c r="K203" s="153"/>
      <c r="L203" s="153"/>
      <c r="M203" s="153"/>
      <c r="N203" s="153"/>
      <c r="O203" s="153"/>
      <c r="P203" s="153"/>
      <c r="Q203" s="153"/>
      <c r="R203" s="153"/>
      <c r="S203" s="153"/>
      <c r="T203" s="153"/>
      <c r="U203" s="153"/>
      <c r="V203" s="153"/>
      <c r="W203" s="153"/>
      <c r="X203" s="153"/>
      <c r="Y203" s="153"/>
    </row>
    <row r="204" spans="3:27" x14ac:dyDescent="0.35">
      <c r="C204" s="26" t="str">
        <f ca="1">INDEX('Version control'!$H$38:$H$61,MATCH($A$1,'Version control'!$F$38:$F$61,0),1)&amp;"-E: Unit rate 3"</f>
        <v>Section 109-E: Unit rate 3</v>
      </c>
      <c r="D204" s="26"/>
      <c r="E204" s="26"/>
      <c r="F204" s="26"/>
      <c r="G204" s="26"/>
      <c r="H204" s="26"/>
      <c r="I204" s="26"/>
      <c r="J204" s="188"/>
      <c r="K204" s="188"/>
      <c r="L204" s="188"/>
      <c r="M204" s="188"/>
      <c r="N204" s="188"/>
      <c r="O204" s="188"/>
      <c r="P204" s="188"/>
      <c r="Q204" s="188"/>
      <c r="R204" s="188"/>
      <c r="S204" s="188"/>
      <c r="T204" s="188"/>
      <c r="U204" s="188"/>
      <c r="V204" s="188"/>
      <c r="W204" s="188"/>
      <c r="X204" s="188"/>
      <c r="Y204" s="188"/>
      <c r="Z204" s="26"/>
      <c r="AA204" s="26"/>
    </row>
    <row r="205" spans="3:27" x14ac:dyDescent="0.35">
      <c r="C205" s="27"/>
      <c r="D205" s="27"/>
      <c r="E205" s="27"/>
      <c r="J205" s="153"/>
      <c r="K205" s="153"/>
      <c r="L205" s="153"/>
      <c r="M205" s="153"/>
      <c r="N205" s="153"/>
      <c r="O205" s="153"/>
      <c r="P205" s="153"/>
      <c r="Q205" s="153"/>
      <c r="R205" s="153"/>
      <c r="S205" s="153"/>
      <c r="T205" s="153"/>
      <c r="U205" s="153"/>
      <c r="V205" s="153"/>
      <c r="W205" s="153"/>
      <c r="X205" s="153"/>
      <c r="Y205" s="153"/>
    </row>
    <row r="206" spans="3:27" x14ac:dyDescent="0.35">
      <c r="C206" s="24" t="s">
        <v>626</v>
      </c>
      <c r="D206" s="27"/>
      <c r="E206" s="27"/>
      <c r="I206" s="3" t="s">
        <v>154</v>
      </c>
      <c r="J206" s="153"/>
      <c r="K206" s="153"/>
      <c r="L206" s="153"/>
      <c r="M206" s="153"/>
      <c r="N206" s="153"/>
      <c r="O206" s="153"/>
      <c r="P206" s="153"/>
      <c r="Q206" s="153"/>
      <c r="R206" s="153"/>
      <c r="S206" s="153"/>
      <c r="T206" s="153"/>
      <c r="U206" s="153"/>
      <c r="V206" s="153"/>
      <c r="W206" s="153"/>
      <c r="X206" s="153"/>
      <c r="Y206" s="153"/>
      <c r="AA206" t="s">
        <v>624</v>
      </c>
    </row>
    <row r="207" spans="3:27" x14ac:dyDescent="0.35">
      <c r="C207" s="24" t="s">
        <v>627</v>
      </c>
      <c r="D207" s="27"/>
      <c r="E207" s="27"/>
      <c r="J207" s="153"/>
      <c r="K207" s="153"/>
      <c r="L207" s="153"/>
      <c r="M207" s="153"/>
      <c r="N207" s="153"/>
      <c r="O207" s="153"/>
      <c r="P207" s="153"/>
      <c r="Q207" s="153"/>
      <c r="R207" s="153"/>
      <c r="S207" s="153"/>
      <c r="T207" s="153"/>
      <c r="U207" s="153"/>
      <c r="V207" s="153"/>
      <c r="W207" s="153"/>
      <c r="X207" s="153"/>
      <c r="Y207" s="153"/>
    </row>
    <row r="208" spans="3:27" x14ac:dyDescent="0.35">
      <c r="C208" s="27"/>
      <c r="D208" s="27"/>
      <c r="E208" s="27"/>
    </row>
    <row r="209" spans="3:27" x14ac:dyDescent="0.35">
      <c r="E209" s="27" t="s">
        <v>620</v>
      </c>
      <c r="J209" s="153"/>
      <c r="K209" s="153"/>
      <c r="L209" s="153"/>
      <c r="M209" s="153"/>
      <c r="N209" s="153"/>
      <c r="O209" s="153"/>
      <c r="P209" s="153"/>
      <c r="Q209" s="153"/>
      <c r="R209" s="153"/>
      <c r="S209" s="153"/>
      <c r="T209" s="153"/>
      <c r="U209" s="153"/>
      <c r="V209" s="153"/>
      <c r="W209" s="153"/>
      <c r="X209" s="153"/>
      <c r="Y209" s="153"/>
    </row>
    <row r="210" spans="3:27" x14ac:dyDescent="0.35">
      <c r="E210" s="27"/>
      <c r="F210" s="180" t="s">
        <v>189</v>
      </c>
      <c r="G210" s="19" t="s">
        <v>269</v>
      </c>
      <c r="H210" s="255"/>
      <c r="I210" s="255"/>
      <c r="J210" s="263">
        <f t="shared" ref="J210:Y210" si="60">hundred * $H18 * J55 / $H43 * J105 * (1 - J67) / hours_in_year</f>
        <v>0</v>
      </c>
      <c r="K210" s="263">
        <f t="shared" si="60"/>
        <v>0</v>
      </c>
      <c r="L210" s="263">
        <f t="shared" si="60"/>
        <v>0</v>
      </c>
      <c r="M210" s="263">
        <f t="shared" si="60"/>
        <v>0</v>
      </c>
      <c r="N210" s="263">
        <f t="shared" si="60"/>
        <v>0</v>
      </c>
      <c r="O210" s="263">
        <f t="shared" si="60"/>
        <v>0</v>
      </c>
      <c r="P210" s="263">
        <f t="shared" si="60"/>
        <v>0</v>
      </c>
      <c r="Q210" s="263">
        <f t="shared" si="60"/>
        <v>0</v>
      </c>
      <c r="R210" s="263">
        <f t="shared" si="60"/>
        <v>0</v>
      </c>
      <c r="S210" s="263">
        <f t="shared" si="60"/>
        <v>0</v>
      </c>
      <c r="T210" s="263">
        <f t="shared" si="60"/>
        <v>0</v>
      </c>
      <c r="U210" s="263">
        <f t="shared" si="60"/>
        <v>0</v>
      </c>
      <c r="V210" s="263">
        <f t="shared" si="60"/>
        <v>0</v>
      </c>
      <c r="W210" s="263">
        <f t="shared" si="60"/>
        <v>0</v>
      </c>
      <c r="X210" s="263">
        <f t="shared" si="60"/>
        <v>0</v>
      </c>
      <c r="Y210" s="263">
        <f t="shared" si="60"/>
        <v>0</v>
      </c>
      <c r="Z210" s="256"/>
      <c r="AA210" s="256"/>
    </row>
    <row r="211" spans="3:27" x14ac:dyDescent="0.35">
      <c r="E211" s="27"/>
      <c r="F211" s="181" t="s">
        <v>191</v>
      </c>
      <c r="G211" t="s">
        <v>269</v>
      </c>
      <c r="H211" s="256"/>
      <c r="I211" s="256"/>
      <c r="J211" s="264">
        <f t="shared" ref="J211:Y211" si="61">hundred * $H19 * J56 / $H44 * J106 * (1 - J68) / hours_in_year</f>
        <v>0</v>
      </c>
      <c r="K211" s="264">
        <f t="shared" si="61"/>
        <v>0</v>
      </c>
      <c r="L211" s="264">
        <f t="shared" si="61"/>
        <v>0</v>
      </c>
      <c r="M211" s="264">
        <f t="shared" si="61"/>
        <v>0</v>
      </c>
      <c r="N211" s="264">
        <f t="shared" si="61"/>
        <v>0</v>
      </c>
      <c r="O211" s="264">
        <f t="shared" si="61"/>
        <v>0</v>
      </c>
      <c r="P211" s="264">
        <f t="shared" si="61"/>
        <v>0</v>
      </c>
      <c r="Q211" s="264">
        <f t="shared" si="61"/>
        <v>0</v>
      </c>
      <c r="R211" s="264">
        <f t="shared" si="61"/>
        <v>0</v>
      </c>
      <c r="S211" s="264">
        <f t="shared" si="61"/>
        <v>0</v>
      </c>
      <c r="T211" s="264">
        <f t="shared" si="61"/>
        <v>0</v>
      </c>
      <c r="U211" s="264">
        <f t="shared" si="61"/>
        <v>0</v>
      </c>
      <c r="V211" s="264">
        <f t="shared" si="61"/>
        <v>0</v>
      </c>
      <c r="W211" s="264">
        <f t="shared" si="61"/>
        <v>0</v>
      </c>
      <c r="X211" s="264">
        <f t="shared" si="61"/>
        <v>0</v>
      </c>
      <c r="Y211" s="264">
        <f t="shared" si="61"/>
        <v>0</v>
      </c>
      <c r="Z211" s="256"/>
      <c r="AA211" s="256"/>
    </row>
    <row r="212" spans="3:27" x14ac:dyDescent="0.35">
      <c r="E212" s="27"/>
      <c r="F212" s="181" t="s">
        <v>192</v>
      </c>
      <c r="G212" t="s">
        <v>269</v>
      </c>
      <c r="H212" s="256"/>
      <c r="I212" s="256"/>
      <c r="J212" s="264">
        <f t="shared" ref="J212:Y212" si="62">hundred * $H20 * J57 / $H45 * J107 * (1 - J69) / hours_in_year</f>
        <v>4.416863061610197E-3</v>
      </c>
      <c r="K212" s="264">
        <f t="shared" si="62"/>
        <v>4.416863061610197E-3</v>
      </c>
      <c r="L212" s="264">
        <f t="shared" si="62"/>
        <v>4.1316018982674218E-3</v>
      </c>
      <c r="M212" s="264">
        <f t="shared" si="62"/>
        <v>4.1316018982674218E-3</v>
      </c>
      <c r="N212" s="264">
        <f t="shared" si="62"/>
        <v>3.6343254212690091E-3</v>
      </c>
      <c r="O212" s="264">
        <f t="shared" si="62"/>
        <v>2.9565298863339475E-3</v>
      </c>
      <c r="P212" s="264">
        <f t="shared" si="62"/>
        <v>2.9976017009768507E-3</v>
      </c>
      <c r="Q212" s="264">
        <f t="shared" si="62"/>
        <v>3.42342611542212E-3</v>
      </c>
      <c r="R212" s="264">
        <f t="shared" si="62"/>
        <v>-3.0657928331126226E-3</v>
      </c>
      <c r="S212" s="264">
        <f t="shared" si="62"/>
        <v>-2.9335980962719864E-3</v>
      </c>
      <c r="T212" s="264">
        <f t="shared" si="62"/>
        <v>-3.0657928331126226E-3</v>
      </c>
      <c r="U212" s="264">
        <f t="shared" si="62"/>
        <v>-3.0657928331126226E-3</v>
      </c>
      <c r="V212" s="264">
        <f t="shared" si="62"/>
        <v>-2.9335980962719864E-3</v>
      </c>
      <c r="W212" s="264">
        <f t="shared" si="62"/>
        <v>-2.9335980962719864E-3</v>
      </c>
      <c r="X212" s="264">
        <f t="shared" si="62"/>
        <v>-2.8885956326666633E-3</v>
      </c>
      <c r="Y212" s="264">
        <f t="shared" si="62"/>
        <v>-2.8885956326666633E-3</v>
      </c>
      <c r="Z212" s="256"/>
      <c r="AA212" s="256"/>
    </row>
    <row r="213" spans="3:27" x14ac:dyDescent="0.35">
      <c r="E213" s="27"/>
      <c r="F213" s="181" t="s">
        <v>193</v>
      </c>
      <c r="G213" t="s">
        <v>269</v>
      </c>
      <c r="H213" s="256"/>
      <c r="I213" s="256"/>
      <c r="J213" s="264">
        <f t="shared" ref="J213:Y213" si="63">hundred * $H21 * J58 / $H46 * J108 * (1 - J70) / hours_in_year</f>
        <v>1.1428538846698253E-3</v>
      </c>
      <c r="K213" s="264">
        <f t="shared" si="63"/>
        <v>1.1428538846698253E-3</v>
      </c>
      <c r="L213" s="264">
        <f t="shared" si="63"/>
        <v>1.0690431678501656E-3</v>
      </c>
      <c r="M213" s="264">
        <f t="shared" si="63"/>
        <v>1.0690431678501656E-3</v>
      </c>
      <c r="N213" s="264">
        <f t="shared" si="63"/>
        <v>9.4037394139572861E-4</v>
      </c>
      <c r="O213" s="264">
        <f t="shared" si="63"/>
        <v>7.6499579421133209E-4</v>
      </c>
      <c r="P213" s="264">
        <f t="shared" si="63"/>
        <v>7.7562303853843364E-4</v>
      </c>
      <c r="Q213" s="264">
        <f t="shared" si="63"/>
        <v>8.8580419639815145E-4</v>
      </c>
      <c r="R213" s="264">
        <f t="shared" si="63"/>
        <v>-7.9326734835160446E-4</v>
      </c>
      <c r="S213" s="264">
        <f t="shared" si="63"/>
        <v>-7.5906224250525071E-4</v>
      </c>
      <c r="T213" s="264">
        <f t="shared" si="63"/>
        <v>-7.9326734835160446E-4</v>
      </c>
      <c r="U213" s="264">
        <f t="shared" si="63"/>
        <v>-7.9326734835160446E-4</v>
      </c>
      <c r="V213" s="264">
        <f t="shared" si="63"/>
        <v>-7.5906224250525071E-4</v>
      </c>
      <c r="W213" s="264">
        <f t="shared" si="63"/>
        <v>-7.5906224250525071E-4</v>
      </c>
      <c r="X213" s="264">
        <f t="shared" si="63"/>
        <v>-7.4741795115330066E-4</v>
      </c>
      <c r="Y213" s="264">
        <f t="shared" si="63"/>
        <v>-7.4741795115330066E-4</v>
      </c>
      <c r="Z213" s="256"/>
      <c r="AA213" s="256"/>
    </row>
    <row r="214" spans="3:27" x14ac:dyDescent="0.35">
      <c r="E214" s="27"/>
      <c r="F214" s="181" t="s">
        <v>194</v>
      </c>
      <c r="G214" t="s">
        <v>269</v>
      </c>
      <c r="H214" s="256"/>
      <c r="I214" s="256"/>
      <c r="J214" s="264">
        <f t="shared" ref="J214:Y214" si="64">hundred * $H22 * J59 / $H47 * J109 * (1 - J71) / hours_in_year</f>
        <v>4.7466534056469336E-3</v>
      </c>
      <c r="K214" s="264">
        <f t="shared" si="64"/>
        <v>4.7466534056469336E-3</v>
      </c>
      <c r="L214" s="264">
        <f t="shared" si="64"/>
        <v>4.4400928775996436E-3</v>
      </c>
      <c r="M214" s="264">
        <f t="shared" si="64"/>
        <v>4.4400928775996436E-3</v>
      </c>
      <c r="N214" s="264">
        <f t="shared" si="64"/>
        <v>3.9056866598456072E-3</v>
      </c>
      <c r="O214" s="264">
        <f t="shared" si="64"/>
        <v>3.1772827135709125E-3</v>
      </c>
      <c r="P214" s="264">
        <f t="shared" si="64"/>
        <v>3.1491392848784364E-3</v>
      </c>
      <c r="Q214" s="264">
        <f t="shared" si="64"/>
        <v>3.6790403060005853E-3</v>
      </c>
      <c r="R214" s="264">
        <f t="shared" si="64"/>
        <v>-3.2947039084786278E-3</v>
      </c>
      <c r="S214" s="264">
        <f t="shared" si="64"/>
        <v>-3.1526386940763382E-3</v>
      </c>
      <c r="T214" s="264">
        <f t="shared" si="64"/>
        <v>-3.2947039084786278E-3</v>
      </c>
      <c r="U214" s="264">
        <f t="shared" si="64"/>
        <v>-3.2947039084786278E-3</v>
      </c>
      <c r="V214" s="264">
        <f t="shared" si="64"/>
        <v>-3.1526386940763382E-3</v>
      </c>
      <c r="W214" s="264">
        <f t="shared" si="64"/>
        <v>-3.1526386940763382E-3</v>
      </c>
      <c r="X214" s="264">
        <f t="shared" si="64"/>
        <v>-3.0346226391566619E-3</v>
      </c>
      <c r="Y214" s="264">
        <f t="shared" si="64"/>
        <v>-3.0346226391566619E-3</v>
      </c>
      <c r="Z214" s="256"/>
      <c r="AA214" s="256"/>
    </row>
    <row r="215" spans="3:27" x14ac:dyDescent="0.35">
      <c r="E215" s="27"/>
      <c r="F215" s="181" t="s">
        <v>195</v>
      </c>
      <c r="G215" t="s">
        <v>269</v>
      </c>
      <c r="H215" s="256"/>
      <c r="I215" s="256"/>
      <c r="J215" s="264">
        <f t="shared" ref="J215:Y215" si="65">hundred * $H23 * J60 / $H48 * J110 * (1 - J72) / hours_in_year</f>
        <v>3.3173129064133296E-3</v>
      </c>
      <c r="K215" s="264">
        <f t="shared" si="65"/>
        <v>3.3173129064133296E-3</v>
      </c>
      <c r="L215" s="264">
        <f t="shared" si="65"/>
        <v>3.1030657075177205E-3</v>
      </c>
      <c r="M215" s="264">
        <f t="shared" si="65"/>
        <v>3.1030657075177205E-3</v>
      </c>
      <c r="N215" s="264">
        <f t="shared" si="65"/>
        <v>2.7295830678722875E-3</v>
      </c>
      <c r="O215" s="264">
        <f t="shared" si="65"/>
        <v>2.2205204493156421E-3</v>
      </c>
      <c r="P215" s="264">
        <f t="shared" si="65"/>
        <v>2.1544912058115923E-3</v>
      </c>
      <c r="Q215" s="264">
        <f t="shared" si="65"/>
        <v>2.5711858118377196E-3</v>
      </c>
      <c r="R215" s="264">
        <f t="shared" si="65"/>
        <v>-2.3025830757737774E-3</v>
      </c>
      <c r="S215" s="264">
        <f t="shared" si="65"/>
        <v>-2.2032973835156414E-3</v>
      </c>
      <c r="T215" s="264">
        <f t="shared" si="65"/>
        <v>-2.3025830757737774E-3</v>
      </c>
      <c r="U215" s="264">
        <f t="shared" si="65"/>
        <v>-2.3025830757737774E-3</v>
      </c>
      <c r="V215" s="264">
        <f t="shared" si="65"/>
        <v>-2.2032973835156414E-3</v>
      </c>
      <c r="W215" s="264">
        <f t="shared" si="65"/>
        <v>-2.2032973835156414E-3</v>
      </c>
      <c r="X215" s="264">
        <f t="shared" si="65"/>
        <v>-2.0761443675782593E-3</v>
      </c>
      <c r="Y215" s="264">
        <f t="shared" si="65"/>
        <v>-2.0761443675782593E-3</v>
      </c>
      <c r="Z215" s="256"/>
      <c r="AA215" s="256"/>
    </row>
    <row r="216" spans="3:27" x14ac:dyDescent="0.35">
      <c r="E216" s="27"/>
      <c r="F216" s="181" t="s">
        <v>196</v>
      </c>
      <c r="G216" t="s">
        <v>269</v>
      </c>
      <c r="H216" s="256"/>
      <c r="I216" s="256"/>
      <c r="J216" s="264">
        <f t="shared" ref="J216:Y216" si="66">hundred * $H24 * J61 / $H49 * J111 * (1 - J73) / hours_in_year</f>
        <v>0</v>
      </c>
      <c r="K216" s="264">
        <f t="shared" si="66"/>
        <v>0</v>
      </c>
      <c r="L216" s="264">
        <f t="shared" si="66"/>
        <v>0</v>
      </c>
      <c r="M216" s="264">
        <f t="shared" si="66"/>
        <v>0</v>
      </c>
      <c r="N216" s="264">
        <f t="shared" si="66"/>
        <v>0</v>
      </c>
      <c r="O216" s="264">
        <f t="shared" si="66"/>
        <v>0</v>
      </c>
      <c r="P216" s="264">
        <f t="shared" si="66"/>
        <v>0</v>
      </c>
      <c r="Q216" s="264">
        <f t="shared" si="66"/>
        <v>0</v>
      </c>
      <c r="R216" s="264">
        <f t="shared" si="66"/>
        <v>0</v>
      </c>
      <c r="S216" s="264">
        <f t="shared" si="66"/>
        <v>0</v>
      </c>
      <c r="T216" s="264">
        <f t="shared" si="66"/>
        <v>0</v>
      </c>
      <c r="U216" s="264">
        <f t="shared" si="66"/>
        <v>0</v>
      </c>
      <c r="V216" s="264">
        <f t="shared" si="66"/>
        <v>0</v>
      </c>
      <c r="W216" s="264">
        <f t="shared" si="66"/>
        <v>0</v>
      </c>
      <c r="X216" s="264">
        <f t="shared" si="66"/>
        <v>0</v>
      </c>
      <c r="Y216" s="264">
        <f t="shared" si="66"/>
        <v>0</v>
      </c>
      <c r="Z216" s="256"/>
      <c r="AA216" s="256"/>
    </row>
    <row r="217" spans="3:27" x14ac:dyDescent="0.35">
      <c r="E217" s="27"/>
      <c r="F217" s="181" t="s">
        <v>197</v>
      </c>
      <c r="G217" t="s">
        <v>269</v>
      </c>
      <c r="H217" s="256"/>
      <c r="I217" s="256"/>
      <c r="J217" s="264">
        <f t="shared" ref="J217:Y217" si="67">hundred * $H25 * J62 / $H50 * J112 * (1 - J74) / hours_in_year</f>
        <v>1.2511415191146624E-2</v>
      </c>
      <c r="K217" s="264">
        <f t="shared" si="67"/>
        <v>1.2511415191146624E-2</v>
      </c>
      <c r="L217" s="264">
        <f t="shared" si="67"/>
        <v>1.1703370929255958E-2</v>
      </c>
      <c r="M217" s="264">
        <f t="shared" si="67"/>
        <v>1.1703370929255958E-2</v>
      </c>
      <c r="N217" s="264">
        <f t="shared" si="67"/>
        <v>1.0294762063250121E-2</v>
      </c>
      <c r="O217" s="264">
        <f t="shared" si="67"/>
        <v>8.3748063766035039E-3</v>
      </c>
      <c r="P217" s="264">
        <f t="shared" si="67"/>
        <v>7.9808859930486642E-3</v>
      </c>
      <c r="Q217" s="264">
        <f t="shared" si="67"/>
        <v>9.6973587156323864E-3</v>
      </c>
      <c r="R217" s="264">
        <f t="shared" si="67"/>
        <v>-8.6843097669254601E-3</v>
      </c>
      <c r="S217" s="264">
        <f t="shared" si="67"/>
        <v>-8.3098487035809659E-3</v>
      </c>
      <c r="T217" s="264">
        <f t="shared" si="67"/>
        <v>-8.6843097669254601E-3</v>
      </c>
      <c r="U217" s="264">
        <f t="shared" si="67"/>
        <v>-8.6843097669254601E-3</v>
      </c>
      <c r="V217" s="264">
        <f t="shared" si="67"/>
        <v>-8.3098487035809659E-3</v>
      </c>
      <c r="W217" s="264">
        <f t="shared" si="67"/>
        <v>-8.3098487035809659E-3</v>
      </c>
      <c r="X217" s="264">
        <f t="shared" si="67"/>
        <v>0</v>
      </c>
      <c r="Y217" s="264">
        <f t="shared" si="67"/>
        <v>0</v>
      </c>
      <c r="Z217" s="256"/>
      <c r="AA217" s="256"/>
    </row>
    <row r="218" spans="3:27" x14ac:dyDescent="0.35">
      <c r="E218" s="27"/>
      <c r="F218" s="181" t="s">
        <v>198</v>
      </c>
      <c r="G218" t="s">
        <v>269</v>
      </c>
      <c r="H218" s="256"/>
      <c r="I218" s="256"/>
      <c r="J218" s="264">
        <f t="shared" ref="J218:Y218" si="68">hundred * $H26 * J63 / $H51 * J113 * (1 - J75) / hours_in_year</f>
        <v>4.22096589715968E-3</v>
      </c>
      <c r="K218" s="264">
        <f t="shared" si="68"/>
        <v>4.22096589715968E-3</v>
      </c>
      <c r="L218" s="264">
        <f t="shared" si="68"/>
        <v>3.9483566662511273E-3</v>
      </c>
      <c r="M218" s="264">
        <f t="shared" si="68"/>
        <v>3.9483566662511273E-3</v>
      </c>
      <c r="N218" s="264">
        <f t="shared" si="68"/>
        <v>3.4731354466680125E-3</v>
      </c>
      <c r="O218" s="264">
        <f t="shared" si="68"/>
        <v>2.8254015689586544E-3</v>
      </c>
      <c r="P218" s="264">
        <f t="shared" si="68"/>
        <v>0</v>
      </c>
      <c r="Q218" s="264">
        <f t="shared" si="68"/>
        <v>3.2715899685091666E-3</v>
      </c>
      <c r="R218" s="264">
        <f t="shared" si="68"/>
        <v>-2.9298184742923305E-3</v>
      </c>
      <c r="S218" s="264">
        <f t="shared" si="68"/>
        <v>0</v>
      </c>
      <c r="T218" s="264">
        <f t="shared" si="68"/>
        <v>-2.9298184742923305E-3</v>
      </c>
      <c r="U218" s="264">
        <f t="shared" si="68"/>
        <v>-2.9298184742923305E-3</v>
      </c>
      <c r="V218" s="264">
        <f t="shared" si="68"/>
        <v>0</v>
      </c>
      <c r="W218" s="264">
        <f t="shared" si="68"/>
        <v>0</v>
      </c>
      <c r="X218" s="264">
        <f t="shared" si="68"/>
        <v>0</v>
      </c>
      <c r="Y218" s="264">
        <f t="shared" si="68"/>
        <v>0</v>
      </c>
      <c r="Z218" s="256"/>
      <c r="AA218" s="256"/>
    </row>
    <row r="219" spans="3:27" x14ac:dyDescent="0.35">
      <c r="E219" s="27"/>
      <c r="F219" s="182" t="s">
        <v>199</v>
      </c>
      <c r="G219" s="28" t="s">
        <v>269</v>
      </c>
      <c r="H219" s="258"/>
      <c r="I219" s="258"/>
      <c r="J219" s="265">
        <f t="shared" ref="J219:Y219" si="69">hundred * $H27 * J64 / $H52 * J114 * (1 - J76) / hours_in_year</f>
        <v>8.3328908696360577E-4</v>
      </c>
      <c r="K219" s="265">
        <f t="shared" si="69"/>
        <v>8.3328908696360577E-4</v>
      </c>
      <c r="L219" s="265">
        <f t="shared" si="69"/>
        <v>7.7947147681079734E-4</v>
      </c>
      <c r="M219" s="265">
        <f t="shared" si="69"/>
        <v>7.7947147681079734E-4</v>
      </c>
      <c r="N219" s="265">
        <f t="shared" si="69"/>
        <v>6.8565487989429204E-4</v>
      </c>
      <c r="O219" s="265">
        <f t="shared" si="69"/>
        <v>0</v>
      </c>
      <c r="P219" s="265">
        <f t="shared" si="69"/>
        <v>0</v>
      </c>
      <c r="Q219" s="265">
        <f t="shared" si="69"/>
        <v>6.4586644009911626E-4</v>
      </c>
      <c r="R219" s="265">
        <f t="shared" si="69"/>
        <v>0</v>
      </c>
      <c r="S219" s="265">
        <f t="shared" si="69"/>
        <v>0</v>
      </c>
      <c r="T219" s="265">
        <f t="shared" si="69"/>
        <v>0</v>
      </c>
      <c r="U219" s="265">
        <f t="shared" si="69"/>
        <v>0</v>
      </c>
      <c r="V219" s="265">
        <f t="shared" si="69"/>
        <v>0</v>
      </c>
      <c r="W219" s="265">
        <f t="shared" si="69"/>
        <v>0</v>
      </c>
      <c r="X219" s="265">
        <f t="shared" si="69"/>
        <v>0</v>
      </c>
      <c r="Y219" s="265">
        <f t="shared" si="69"/>
        <v>0</v>
      </c>
      <c r="Z219" s="256"/>
      <c r="AA219" s="256"/>
    </row>
    <row r="220" spans="3:27" x14ac:dyDescent="0.35">
      <c r="E220" s="27"/>
      <c r="F220" s="181"/>
      <c r="J220" s="153"/>
      <c r="K220" s="153"/>
      <c r="L220" s="153"/>
      <c r="M220" s="153"/>
      <c r="N220" s="153"/>
      <c r="O220" s="153"/>
      <c r="P220" s="153"/>
      <c r="Q220" s="153"/>
      <c r="R220" s="153"/>
      <c r="S220" s="153"/>
      <c r="T220" s="153"/>
      <c r="U220" s="153"/>
      <c r="V220" s="153"/>
      <c r="W220" s="153"/>
      <c r="X220" s="153"/>
      <c r="Y220" s="153"/>
    </row>
    <row r="221" spans="3:27" x14ac:dyDescent="0.35">
      <c r="E221" s="27" t="s">
        <v>621</v>
      </c>
      <c r="J221" s="153"/>
      <c r="K221" s="153"/>
      <c r="L221" s="153"/>
      <c r="M221" s="153"/>
      <c r="N221" s="153"/>
      <c r="O221" s="153"/>
      <c r="P221" s="153"/>
      <c r="Q221" s="153"/>
      <c r="R221" s="153"/>
      <c r="S221" s="153"/>
      <c r="T221" s="153"/>
      <c r="U221" s="153"/>
      <c r="V221" s="153"/>
      <c r="W221" s="153"/>
      <c r="X221" s="153"/>
      <c r="Y221" s="153"/>
    </row>
    <row r="222" spans="3:27" x14ac:dyDescent="0.35">
      <c r="C222" s="27"/>
      <c r="E222" s="27"/>
      <c r="F222" s="180" t="s">
        <v>189</v>
      </c>
      <c r="G222" s="19" t="s">
        <v>269</v>
      </c>
      <c r="H222" s="255"/>
      <c r="I222" s="255"/>
      <c r="J222" s="263">
        <f t="shared" ref="J222:Y222" si="70">hundred * $H30 * J55 / $H43 * J105 / hours_in_year</f>
        <v>0</v>
      </c>
      <c r="K222" s="263">
        <f t="shared" si="70"/>
        <v>0</v>
      </c>
      <c r="L222" s="263">
        <f t="shared" si="70"/>
        <v>0</v>
      </c>
      <c r="M222" s="263">
        <f t="shared" si="70"/>
        <v>0</v>
      </c>
      <c r="N222" s="263">
        <f t="shared" si="70"/>
        <v>0</v>
      </c>
      <c r="O222" s="263">
        <f t="shared" si="70"/>
        <v>0</v>
      </c>
      <c r="P222" s="263">
        <f t="shared" si="70"/>
        <v>0</v>
      </c>
      <c r="Q222" s="263">
        <f t="shared" si="70"/>
        <v>0</v>
      </c>
      <c r="R222" s="263">
        <f t="shared" si="70"/>
        <v>0</v>
      </c>
      <c r="S222" s="263">
        <f t="shared" si="70"/>
        <v>0</v>
      </c>
      <c r="T222" s="263">
        <f t="shared" si="70"/>
        <v>0</v>
      </c>
      <c r="U222" s="263">
        <f t="shared" si="70"/>
        <v>0</v>
      </c>
      <c r="V222" s="263">
        <f t="shared" si="70"/>
        <v>0</v>
      </c>
      <c r="W222" s="263">
        <f t="shared" si="70"/>
        <v>0</v>
      </c>
      <c r="X222" s="263">
        <f t="shared" si="70"/>
        <v>0</v>
      </c>
      <c r="Y222" s="263">
        <f t="shared" si="70"/>
        <v>0</v>
      </c>
      <c r="Z222" s="256"/>
      <c r="AA222" s="256"/>
    </row>
    <row r="223" spans="3:27" x14ac:dyDescent="0.35">
      <c r="C223" s="27"/>
      <c r="E223" s="27"/>
      <c r="F223" s="181" t="s">
        <v>191</v>
      </c>
      <c r="G223" t="s">
        <v>269</v>
      </c>
      <c r="H223" s="256"/>
      <c r="I223" s="256"/>
      <c r="J223" s="264">
        <f t="shared" ref="J223:Y223" si="71">hundred * $H31 * J56 / $H44 * J106 / hours_in_year</f>
        <v>0</v>
      </c>
      <c r="K223" s="264">
        <f t="shared" si="71"/>
        <v>0</v>
      </c>
      <c r="L223" s="264">
        <f t="shared" si="71"/>
        <v>0</v>
      </c>
      <c r="M223" s="264">
        <f t="shared" si="71"/>
        <v>0</v>
      </c>
      <c r="N223" s="264">
        <f t="shared" si="71"/>
        <v>0</v>
      </c>
      <c r="O223" s="264">
        <f t="shared" si="71"/>
        <v>0</v>
      </c>
      <c r="P223" s="264">
        <f t="shared" si="71"/>
        <v>0</v>
      </c>
      <c r="Q223" s="264">
        <f t="shared" si="71"/>
        <v>0</v>
      </c>
      <c r="R223" s="264">
        <f t="shared" si="71"/>
        <v>0</v>
      </c>
      <c r="S223" s="264">
        <f t="shared" si="71"/>
        <v>0</v>
      </c>
      <c r="T223" s="264">
        <f t="shared" si="71"/>
        <v>0</v>
      </c>
      <c r="U223" s="264">
        <f t="shared" si="71"/>
        <v>0</v>
      </c>
      <c r="V223" s="264">
        <f t="shared" si="71"/>
        <v>0</v>
      </c>
      <c r="W223" s="264">
        <f t="shared" si="71"/>
        <v>0</v>
      </c>
      <c r="X223" s="264">
        <f t="shared" si="71"/>
        <v>0</v>
      </c>
      <c r="Y223" s="264">
        <f t="shared" si="71"/>
        <v>0</v>
      </c>
      <c r="Z223" s="256"/>
      <c r="AA223" s="256"/>
    </row>
    <row r="224" spans="3:27" x14ac:dyDescent="0.35">
      <c r="C224" s="27"/>
      <c r="E224" s="27"/>
      <c r="F224" s="181" t="s">
        <v>192</v>
      </c>
      <c r="G224" t="s">
        <v>269</v>
      </c>
      <c r="H224" s="256"/>
      <c r="I224" s="256"/>
      <c r="J224" s="264">
        <f t="shared" ref="J224:Y224" si="72">hundred * $H32 * J57 / $H45 * J107 / hours_in_year</f>
        <v>2.9423573712730518E-3</v>
      </c>
      <c r="K224" s="264">
        <f t="shared" si="72"/>
        <v>2.9423573712730518E-3</v>
      </c>
      <c r="L224" s="264">
        <f t="shared" si="72"/>
        <v>2.7523265111373168E-3</v>
      </c>
      <c r="M224" s="264">
        <f t="shared" si="72"/>
        <v>2.7523265111373168E-3</v>
      </c>
      <c r="N224" s="264">
        <f t="shared" si="72"/>
        <v>2.4210585756710159E-3</v>
      </c>
      <c r="O224" s="264">
        <f t="shared" si="72"/>
        <v>1.9695352523047042E-3</v>
      </c>
      <c r="P224" s="264">
        <f t="shared" si="72"/>
        <v>1.996895837154272E-3</v>
      </c>
      <c r="Q224" s="264">
        <f t="shared" si="72"/>
        <v>2.2805649451239237E-3</v>
      </c>
      <c r="R224" s="264">
        <f t="shared" si="72"/>
        <v>-2.0423223485711776E-3</v>
      </c>
      <c r="S224" s="264">
        <f t="shared" si="72"/>
        <v>-1.9542589078529703E-3</v>
      </c>
      <c r="T224" s="264">
        <f t="shared" si="72"/>
        <v>-2.0423223485711776E-3</v>
      </c>
      <c r="U224" s="264">
        <f t="shared" si="72"/>
        <v>-2.0423223485711776E-3</v>
      </c>
      <c r="V224" s="264">
        <f t="shared" si="72"/>
        <v>-1.9542589078529703E-3</v>
      </c>
      <c r="W224" s="264">
        <f t="shared" si="72"/>
        <v>-1.9542589078529703E-3</v>
      </c>
      <c r="X224" s="264">
        <f t="shared" si="72"/>
        <v>-1.9242798642042191E-3</v>
      </c>
      <c r="Y224" s="264">
        <f t="shared" si="72"/>
        <v>-1.9242798642042191E-3</v>
      </c>
      <c r="Z224" s="256"/>
      <c r="AA224" s="256"/>
    </row>
    <row r="225" spans="2:27" x14ac:dyDescent="0.35">
      <c r="C225" s="27"/>
      <c r="E225" s="27"/>
      <c r="F225" s="181" t="s">
        <v>193</v>
      </c>
      <c r="G225" t="s">
        <v>269</v>
      </c>
      <c r="H225" s="256"/>
      <c r="I225" s="256"/>
      <c r="J225" s="264">
        <f t="shared" ref="J225:Y225" si="73">hundred * $H33 * J58 / $H46 * J108 / hours_in_year</f>
        <v>7.6132868620572844E-4</v>
      </c>
      <c r="K225" s="264">
        <f t="shared" si="73"/>
        <v>7.6132868620572844E-4</v>
      </c>
      <c r="L225" s="264">
        <f t="shared" si="73"/>
        <v>7.1215860696987828E-4</v>
      </c>
      <c r="M225" s="264">
        <f t="shared" si="73"/>
        <v>7.1215860696987828E-4</v>
      </c>
      <c r="N225" s="264">
        <f t="shared" si="73"/>
        <v>6.2644373611395535E-4</v>
      </c>
      <c r="O225" s="264">
        <f t="shared" si="73"/>
        <v>5.0961304045274555E-4</v>
      </c>
      <c r="P225" s="264">
        <f t="shared" si="73"/>
        <v>5.1669253335211748E-4</v>
      </c>
      <c r="Q225" s="264">
        <f t="shared" si="73"/>
        <v>5.9009130924392739E-4</v>
      </c>
      <c r="R225" s="264">
        <f t="shared" si="73"/>
        <v>-5.2844654616973066E-4</v>
      </c>
      <c r="S225" s="264">
        <f t="shared" si="73"/>
        <v>-5.0566031894956783E-4</v>
      </c>
      <c r="T225" s="264">
        <f t="shared" si="73"/>
        <v>-5.2844654616973066E-4</v>
      </c>
      <c r="U225" s="264">
        <f t="shared" si="73"/>
        <v>-5.2844654616973066E-4</v>
      </c>
      <c r="V225" s="264">
        <f t="shared" si="73"/>
        <v>-5.0566031894956783E-4</v>
      </c>
      <c r="W225" s="264">
        <f t="shared" si="73"/>
        <v>-5.0566031894956783E-4</v>
      </c>
      <c r="X225" s="264">
        <f t="shared" si="73"/>
        <v>-4.9790330542781027E-4</v>
      </c>
      <c r="Y225" s="264">
        <f t="shared" si="73"/>
        <v>-4.9790330542781027E-4</v>
      </c>
      <c r="Z225" s="256"/>
      <c r="AA225" s="256"/>
    </row>
    <row r="226" spans="2:27" x14ac:dyDescent="0.35">
      <c r="C226" s="27"/>
      <c r="E226" s="27"/>
      <c r="F226" s="181" t="s">
        <v>194</v>
      </c>
      <c r="G226" t="s">
        <v>269</v>
      </c>
      <c r="H226" s="256"/>
      <c r="I226" s="256"/>
      <c r="J226" s="264">
        <f t="shared" ref="J226:Y226" si="74">hundred * $H34 * J59 / $H47 * J109 / hours_in_year</f>
        <v>3.201657820949692E-3</v>
      </c>
      <c r="K226" s="264">
        <f t="shared" si="74"/>
        <v>3.201657820949692E-3</v>
      </c>
      <c r="L226" s="264">
        <f t="shared" si="74"/>
        <v>2.994880155015749E-3</v>
      </c>
      <c r="M226" s="264">
        <f t="shared" si="74"/>
        <v>2.994880155015749E-3</v>
      </c>
      <c r="N226" s="264">
        <f t="shared" si="74"/>
        <v>2.6344186465768024E-3</v>
      </c>
      <c r="O226" s="264">
        <f t="shared" si="74"/>
        <v>2.1431040313941198E-3</v>
      </c>
      <c r="P226" s="264">
        <f t="shared" si="74"/>
        <v>2.1728758161965473E-3</v>
      </c>
      <c r="Q226" s="264">
        <f t="shared" si="74"/>
        <v>2.4815437662422976E-3</v>
      </c>
      <c r="R226" s="264">
        <f t="shared" si="74"/>
        <v>-2.2223056193116822E-3</v>
      </c>
      <c r="S226" s="264">
        <f t="shared" si="74"/>
        <v>-2.1264814320569583E-3</v>
      </c>
      <c r="T226" s="264">
        <f t="shared" si="74"/>
        <v>-2.2223056193116822E-3</v>
      </c>
      <c r="U226" s="264">
        <f t="shared" si="74"/>
        <v>-2.2223056193116822E-3</v>
      </c>
      <c r="V226" s="264">
        <f t="shared" si="74"/>
        <v>-2.1264814320569583E-3</v>
      </c>
      <c r="W226" s="264">
        <f t="shared" si="74"/>
        <v>-2.1264814320569583E-3</v>
      </c>
      <c r="X226" s="264">
        <f t="shared" si="74"/>
        <v>-2.093860432140457E-3</v>
      </c>
      <c r="Y226" s="264">
        <f t="shared" si="74"/>
        <v>-2.093860432140457E-3</v>
      </c>
      <c r="Z226" s="256"/>
      <c r="AA226" s="256"/>
    </row>
    <row r="227" spans="2:27" x14ac:dyDescent="0.35">
      <c r="C227" s="27"/>
      <c r="E227" s="27"/>
      <c r="F227" s="181" t="s">
        <v>195</v>
      </c>
      <c r="G227" t="s">
        <v>269</v>
      </c>
      <c r="H227" s="256"/>
      <c r="I227" s="256"/>
      <c r="J227" s="264">
        <f t="shared" ref="J227:Y227" si="75">hundred * $H35 * J60 / $H48 * J110 / hours_in_year</f>
        <v>2.2651477960569039E-3</v>
      </c>
      <c r="K227" s="264">
        <f t="shared" si="75"/>
        <v>2.2651477960569039E-3</v>
      </c>
      <c r="L227" s="264">
        <f t="shared" si="75"/>
        <v>2.1188542192732587E-3</v>
      </c>
      <c r="M227" s="264">
        <f t="shared" si="75"/>
        <v>2.1188542192732587E-3</v>
      </c>
      <c r="N227" s="264">
        <f t="shared" si="75"/>
        <v>1.8638305293395131E-3</v>
      </c>
      <c r="O227" s="264">
        <f t="shared" si="75"/>
        <v>1.5162292927334456E-3</v>
      </c>
      <c r="P227" s="264">
        <f t="shared" si="75"/>
        <v>1.5372925969655933E-3</v>
      </c>
      <c r="Q227" s="264">
        <f t="shared" si="75"/>
        <v>1.7556727505799296E-3</v>
      </c>
      <c r="R227" s="264">
        <f t="shared" si="75"/>
        <v>-1.5722637949659357E-3</v>
      </c>
      <c r="S227" s="264">
        <f t="shared" si="75"/>
        <v>-1.5044689340820831E-3</v>
      </c>
      <c r="T227" s="264">
        <f t="shared" si="75"/>
        <v>-1.5722637949659357E-3</v>
      </c>
      <c r="U227" s="264">
        <f t="shared" si="75"/>
        <v>-1.5722637949659357E-3</v>
      </c>
      <c r="V227" s="264">
        <f t="shared" si="75"/>
        <v>-1.5044689340820831E-3</v>
      </c>
      <c r="W227" s="264">
        <f t="shared" si="75"/>
        <v>-1.5044689340820831E-3</v>
      </c>
      <c r="X227" s="264">
        <f t="shared" si="75"/>
        <v>-1.4813898325046013E-3</v>
      </c>
      <c r="Y227" s="264">
        <f t="shared" si="75"/>
        <v>-1.4813898325046013E-3</v>
      </c>
      <c r="Z227" s="256"/>
      <c r="AA227" s="256"/>
    </row>
    <row r="228" spans="2:27" x14ac:dyDescent="0.35">
      <c r="C228" s="27"/>
      <c r="E228" s="27"/>
      <c r="F228" s="181" t="s">
        <v>196</v>
      </c>
      <c r="G228" t="s">
        <v>269</v>
      </c>
      <c r="H228" s="256"/>
      <c r="I228" s="256"/>
      <c r="J228" s="264">
        <f t="shared" ref="J228:Y228" si="76">hundred * $H36 * J61 / $H49 * J111 / hours_in_year</f>
        <v>0</v>
      </c>
      <c r="K228" s="264">
        <f t="shared" si="76"/>
        <v>0</v>
      </c>
      <c r="L228" s="264">
        <f t="shared" si="76"/>
        <v>0</v>
      </c>
      <c r="M228" s="264">
        <f t="shared" si="76"/>
        <v>0</v>
      </c>
      <c r="N228" s="264">
        <f t="shared" si="76"/>
        <v>0</v>
      </c>
      <c r="O228" s="264">
        <f t="shared" si="76"/>
        <v>0</v>
      </c>
      <c r="P228" s="264">
        <f t="shared" si="76"/>
        <v>0</v>
      </c>
      <c r="Q228" s="264">
        <f t="shared" si="76"/>
        <v>0</v>
      </c>
      <c r="R228" s="264">
        <f t="shared" si="76"/>
        <v>0</v>
      </c>
      <c r="S228" s="264">
        <f t="shared" si="76"/>
        <v>0</v>
      </c>
      <c r="T228" s="264">
        <f t="shared" si="76"/>
        <v>0</v>
      </c>
      <c r="U228" s="264">
        <f t="shared" si="76"/>
        <v>0</v>
      </c>
      <c r="V228" s="264">
        <f t="shared" si="76"/>
        <v>0</v>
      </c>
      <c r="W228" s="264">
        <f t="shared" si="76"/>
        <v>0</v>
      </c>
      <c r="X228" s="264">
        <f t="shared" si="76"/>
        <v>0</v>
      </c>
      <c r="Y228" s="264">
        <f t="shared" si="76"/>
        <v>0</v>
      </c>
      <c r="Z228" s="256"/>
      <c r="AA228" s="256"/>
    </row>
    <row r="229" spans="2:27" x14ac:dyDescent="0.35">
      <c r="C229" s="27"/>
      <c r="E229" s="27"/>
      <c r="F229" s="181" t="s">
        <v>197</v>
      </c>
      <c r="G229" t="s">
        <v>269</v>
      </c>
      <c r="H229" s="256"/>
      <c r="I229" s="256"/>
      <c r="J229" s="264">
        <f t="shared" ref="J229:Y229" si="77">hundred * $H37 * J62 / $H50 * J112 / hours_in_year</f>
        <v>1.2701389782026598E-2</v>
      </c>
      <c r="K229" s="264">
        <f t="shared" si="77"/>
        <v>1.2701389782026598E-2</v>
      </c>
      <c r="L229" s="264">
        <f t="shared" si="77"/>
        <v>1.188107609451778E-2</v>
      </c>
      <c r="M229" s="264">
        <f t="shared" si="77"/>
        <v>1.188107609451778E-2</v>
      </c>
      <c r="N229" s="264">
        <f t="shared" si="77"/>
        <v>1.0451078769337579E-2</v>
      </c>
      <c r="O229" s="264">
        <f t="shared" si="77"/>
        <v>8.5019702817882761E-3</v>
      </c>
      <c r="P229" s="264">
        <f t="shared" si="77"/>
        <v>8.6200787944494036E-3</v>
      </c>
      <c r="Q229" s="264">
        <f t="shared" si="77"/>
        <v>9.8446043890013137E-3</v>
      </c>
      <c r="R229" s="264">
        <f t="shared" si="77"/>
        <v>-8.8161732028231073E-3</v>
      </c>
      <c r="S229" s="264">
        <f t="shared" si="77"/>
        <v>-8.4360262849032131E-3</v>
      </c>
      <c r="T229" s="264">
        <f t="shared" si="77"/>
        <v>-8.8161732028231073E-3</v>
      </c>
      <c r="U229" s="264">
        <f t="shared" si="77"/>
        <v>-8.8161732028231073E-3</v>
      </c>
      <c r="V229" s="264">
        <f t="shared" si="77"/>
        <v>-8.4360262849032131E-3</v>
      </c>
      <c r="W229" s="264">
        <f t="shared" si="77"/>
        <v>-8.4360262849032131E-3</v>
      </c>
      <c r="X229" s="264">
        <f t="shared" si="77"/>
        <v>0</v>
      </c>
      <c r="Y229" s="264">
        <f t="shared" si="77"/>
        <v>0</v>
      </c>
      <c r="Z229" s="256"/>
      <c r="AA229" s="256"/>
    </row>
    <row r="230" spans="2:27" x14ac:dyDescent="0.35">
      <c r="C230" s="27"/>
      <c r="E230" s="27"/>
      <c r="F230" s="181" t="s">
        <v>198</v>
      </c>
      <c r="G230" t="s">
        <v>269</v>
      </c>
      <c r="H230" s="256"/>
      <c r="I230" s="256"/>
      <c r="J230" s="264">
        <f t="shared" ref="J230:Y230" si="78">hundred * $H38 * J63 / $H51 * J113 / hours_in_year</f>
        <v>4.8776303621207622E-3</v>
      </c>
      <c r="K230" s="264">
        <f t="shared" si="78"/>
        <v>4.8776303621207622E-3</v>
      </c>
      <c r="L230" s="264">
        <f t="shared" si="78"/>
        <v>4.5626107447936702E-3</v>
      </c>
      <c r="M230" s="264">
        <f t="shared" si="78"/>
        <v>4.5626107447936702E-3</v>
      </c>
      <c r="N230" s="264">
        <f t="shared" si="78"/>
        <v>4.0134583692858685E-3</v>
      </c>
      <c r="O230" s="264">
        <f t="shared" si="78"/>
        <v>3.2649551817535154E-3</v>
      </c>
      <c r="P230" s="264">
        <f t="shared" si="78"/>
        <v>0</v>
      </c>
      <c r="Q230" s="264">
        <f t="shared" si="78"/>
        <v>3.7805580408853852E-3</v>
      </c>
      <c r="R230" s="264">
        <f t="shared" si="78"/>
        <v>-3.3856164427499484E-3</v>
      </c>
      <c r="S230" s="264">
        <f t="shared" si="78"/>
        <v>0</v>
      </c>
      <c r="T230" s="264">
        <f t="shared" si="78"/>
        <v>-3.3856164427499484E-3</v>
      </c>
      <c r="U230" s="264">
        <f t="shared" si="78"/>
        <v>-3.3856164427499484E-3</v>
      </c>
      <c r="V230" s="264">
        <f t="shared" si="78"/>
        <v>0</v>
      </c>
      <c r="W230" s="264">
        <f t="shared" si="78"/>
        <v>0</v>
      </c>
      <c r="X230" s="264">
        <f t="shared" si="78"/>
        <v>0</v>
      </c>
      <c r="Y230" s="264">
        <f t="shared" si="78"/>
        <v>0</v>
      </c>
      <c r="Z230" s="256"/>
      <c r="AA230" s="256"/>
    </row>
    <row r="231" spans="2:27" x14ac:dyDescent="0.35">
      <c r="C231" s="27"/>
      <c r="E231" s="27"/>
      <c r="F231" s="182" t="s">
        <v>199</v>
      </c>
      <c r="G231" s="28" t="s">
        <v>269</v>
      </c>
      <c r="H231" s="258"/>
      <c r="I231" s="258"/>
      <c r="J231" s="265">
        <f t="shared" ref="J231:Y231" si="79">hundred * $H39 * J64 / $H52 * J114 / hours_in_year</f>
        <v>1.2603672730970291E-2</v>
      </c>
      <c r="K231" s="265">
        <f t="shared" si="79"/>
        <v>1.2603672730970291E-2</v>
      </c>
      <c r="L231" s="265">
        <f t="shared" si="79"/>
        <v>1.17896700563396E-2</v>
      </c>
      <c r="M231" s="265">
        <f t="shared" si="79"/>
        <v>1.17896700563396E-2</v>
      </c>
      <c r="N231" s="265">
        <f t="shared" si="79"/>
        <v>1.0370674292723373E-2</v>
      </c>
      <c r="O231" s="265">
        <f t="shared" si="79"/>
        <v>0</v>
      </c>
      <c r="P231" s="265">
        <f t="shared" si="79"/>
        <v>0</v>
      </c>
      <c r="Q231" s="265">
        <f t="shared" si="79"/>
        <v>9.7688657709273704E-3</v>
      </c>
      <c r="R231" s="265">
        <f t="shared" si="79"/>
        <v>0</v>
      </c>
      <c r="S231" s="265">
        <f t="shared" si="79"/>
        <v>0</v>
      </c>
      <c r="T231" s="265">
        <f t="shared" si="79"/>
        <v>0</v>
      </c>
      <c r="U231" s="265">
        <f t="shared" si="79"/>
        <v>0</v>
      </c>
      <c r="V231" s="265">
        <f t="shared" si="79"/>
        <v>0</v>
      </c>
      <c r="W231" s="265">
        <f t="shared" si="79"/>
        <v>0</v>
      </c>
      <c r="X231" s="265">
        <f t="shared" si="79"/>
        <v>0</v>
      </c>
      <c r="Y231" s="265">
        <f t="shared" si="79"/>
        <v>0</v>
      </c>
      <c r="Z231" s="256"/>
      <c r="AA231" s="256"/>
    </row>
    <row r="232" spans="2:27" x14ac:dyDescent="0.35">
      <c r="J232" s="13"/>
      <c r="K232" s="13"/>
      <c r="L232" s="13"/>
      <c r="M232" s="13"/>
      <c r="N232" s="13"/>
      <c r="O232" s="13"/>
      <c r="P232" s="13"/>
      <c r="Q232" s="13"/>
      <c r="R232" s="13"/>
      <c r="S232" s="13"/>
      <c r="T232" s="13"/>
      <c r="U232" s="13"/>
      <c r="V232" s="13"/>
      <c r="W232" s="13"/>
      <c r="X232" s="13"/>
      <c r="Y232" s="13"/>
    </row>
    <row r="233" spans="2:27" x14ac:dyDescent="0.35">
      <c r="B233" s="25" t="s">
        <v>231</v>
      </c>
      <c r="C233" s="25"/>
      <c r="D233" s="25"/>
      <c r="E233" s="25"/>
      <c r="F233" s="25"/>
      <c r="G233" s="25"/>
      <c r="H233" s="25"/>
      <c r="I233" s="25"/>
      <c r="J233" s="190"/>
      <c r="K233" s="190"/>
      <c r="L233" s="190"/>
      <c r="M233" s="190"/>
      <c r="N233" s="190"/>
      <c r="O233" s="190"/>
      <c r="P233" s="190"/>
      <c r="Q233" s="190"/>
      <c r="R233" s="190"/>
      <c r="S233" s="190"/>
      <c r="T233" s="190"/>
      <c r="U233" s="190"/>
      <c r="V233" s="190"/>
      <c r="W233" s="190"/>
      <c r="X233" s="190"/>
      <c r="Y233" s="190"/>
      <c r="Z233" s="25"/>
      <c r="AA233" s="25"/>
    </row>
    <row r="234" spans="2:27" x14ac:dyDescent="0.35">
      <c r="C234" s="27"/>
      <c r="D234" s="27"/>
      <c r="E234" s="27"/>
      <c r="J234" s="154"/>
      <c r="K234" s="13"/>
      <c r="L234" s="154"/>
      <c r="M234" s="13"/>
      <c r="N234" s="13"/>
      <c r="O234" s="13"/>
      <c r="P234" s="13"/>
      <c r="Q234" s="13"/>
      <c r="R234" s="13"/>
      <c r="S234" s="13"/>
      <c r="T234" s="13"/>
      <c r="U234" s="13"/>
      <c r="V234" s="13"/>
      <c r="W234" s="13"/>
      <c r="X234" s="13"/>
      <c r="Y234" s="13"/>
    </row>
    <row r="235" spans="2:27" x14ac:dyDescent="0.35">
      <c r="D235" s="27" t="s">
        <v>628</v>
      </c>
      <c r="E235" s="27"/>
      <c r="J235" s="154"/>
      <c r="K235" s="13"/>
      <c r="L235" s="154"/>
      <c r="M235" s="13"/>
      <c r="N235" s="13"/>
      <c r="O235" s="13"/>
      <c r="P235" s="13"/>
      <c r="Q235" s="13"/>
      <c r="R235" s="13"/>
      <c r="S235" s="13"/>
      <c r="T235" s="13"/>
      <c r="U235" s="13"/>
      <c r="V235" s="13"/>
      <c r="W235" s="13"/>
      <c r="X235" s="13"/>
      <c r="Y235" s="13"/>
    </row>
    <row r="236" spans="2:27" x14ac:dyDescent="0.35">
      <c r="C236" s="27"/>
      <c r="D236" s="27"/>
      <c r="E236" s="27"/>
      <c r="J236" s="154"/>
      <c r="K236" s="13"/>
      <c r="L236" s="154"/>
      <c r="M236" s="13"/>
      <c r="N236" s="13"/>
      <c r="O236" s="13"/>
      <c r="P236" s="13"/>
      <c r="Q236" s="13"/>
      <c r="R236" s="13"/>
      <c r="S236" s="13"/>
      <c r="T236" s="13"/>
      <c r="U236" s="13"/>
      <c r="V236" s="13"/>
      <c r="W236" s="13"/>
      <c r="X236" s="13"/>
      <c r="Y236" s="13"/>
    </row>
    <row r="237" spans="2:27" x14ac:dyDescent="0.35">
      <c r="C237" s="27"/>
      <c r="D237" s="27"/>
      <c r="E237" t="s">
        <v>232</v>
      </c>
      <c r="G237" s="6" t="s">
        <v>55</v>
      </c>
      <c r="H237" s="191">
        <f t="array" ref="H237">SUM(IF(ISERROR(H18:Y232), 1))</f>
        <v>0</v>
      </c>
      <c r="J237" s="53"/>
      <c r="K237" s="53"/>
      <c r="L237" s="53"/>
      <c r="M237" s="53"/>
      <c r="N237" s="53"/>
      <c r="O237" s="53"/>
      <c r="P237" s="53"/>
      <c r="Q237" s="53"/>
      <c r="R237" s="53"/>
      <c r="S237" s="53"/>
      <c r="T237" s="53"/>
      <c r="U237" s="53"/>
      <c r="V237" s="53"/>
      <c r="W237" s="53"/>
      <c r="X237" s="53"/>
      <c r="Y237" s="53"/>
    </row>
    <row r="238" spans="2:27" x14ac:dyDescent="0.35">
      <c r="C238" s="27"/>
      <c r="D238" s="27"/>
      <c r="E238" s="27"/>
      <c r="J238" s="53"/>
      <c r="L238" s="53"/>
    </row>
    <row r="239" spans="2:27" x14ac:dyDescent="0.35">
      <c r="C239" s="27"/>
      <c r="D239" s="27"/>
      <c r="E239" t="s">
        <v>629</v>
      </c>
      <c r="G239" s="6" t="s">
        <v>55</v>
      </c>
      <c r="H239" s="191">
        <f>SUM(J239:Y239)</f>
        <v>0</v>
      </c>
      <c r="I239" s="192"/>
      <c r="J239" s="191">
        <f t="shared" ref="J239:K239" si="80">IF(ABS(IFERROR(SUM(J152:J231), 1)) &gt; 0, 0, 1)</f>
        <v>0</v>
      </c>
      <c r="K239" s="191">
        <f t="shared" si="80"/>
        <v>0</v>
      </c>
      <c r="L239" s="191">
        <f t="shared" ref="L239:M239" si="81">IF(ABS(IFERROR(SUM(L152:L231), 1)) &gt; 0, 0, 1)</f>
        <v>0</v>
      </c>
      <c r="M239" s="191">
        <f t="shared" si="81"/>
        <v>0</v>
      </c>
      <c r="N239" s="191">
        <f t="shared" ref="N239:P239" si="82">IF(ABS(IFERROR(SUM(N152:N231), 1)) &gt; 0, 0, 1)</f>
        <v>0</v>
      </c>
      <c r="O239" s="191">
        <f t="shared" si="82"/>
        <v>0</v>
      </c>
      <c r="P239" s="191">
        <f t="shared" si="82"/>
        <v>0</v>
      </c>
      <c r="Q239" s="191">
        <f t="shared" ref="Q239:S239" si="83">IF(ABS(IFERROR(SUM(Q152:Q231), 1)) &gt; 0, 0, 1)</f>
        <v>0</v>
      </c>
      <c r="R239" s="191">
        <f t="shared" si="83"/>
        <v>0</v>
      </c>
      <c r="S239" s="191">
        <f t="shared" si="83"/>
        <v>0</v>
      </c>
      <c r="T239" s="191">
        <f t="shared" ref="T239:U239" si="84">IF(ABS(IFERROR(SUM(T152:T231), 1)) &gt; 0, 0, 1)</f>
        <v>0</v>
      </c>
      <c r="U239" s="191">
        <f t="shared" si="84"/>
        <v>0</v>
      </c>
      <c r="V239" s="191">
        <f t="shared" ref="V239:W239" si="85">IF(ABS(IFERROR(SUM(V152:V231), 1)) &gt; 0, 0, 1)</f>
        <v>0</v>
      </c>
      <c r="W239" s="191">
        <f t="shared" si="85"/>
        <v>0</v>
      </c>
      <c r="X239" s="191">
        <f t="shared" ref="X239:Y239" si="86">IF(ABS(IFERROR(SUM(X152:X231), 1)) &gt; 0, 0, 1)</f>
        <v>0</v>
      </c>
      <c r="Y239" s="191">
        <f t="shared" si="86"/>
        <v>0</v>
      </c>
    </row>
    <row r="240" spans="2:27" x14ac:dyDescent="0.35">
      <c r="C240" s="27"/>
      <c r="D240" s="27"/>
      <c r="E240" s="27"/>
      <c r="J240" s="154"/>
      <c r="K240" s="13"/>
      <c r="L240" s="154"/>
      <c r="M240" s="13"/>
      <c r="N240" s="13"/>
      <c r="O240" s="13"/>
      <c r="P240" s="13"/>
      <c r="Q240" s="13"/>
      <c r="R240" s="13"/>
      <c r="S240" s="13"/>
      <c r="T240" s="13"/>
      <c r="U240" s="13"/>
      <c r="V240" s="13"/>
      <c r="W240" s="13"/>
      <c r="X240" s="13"/>
      <c r="Y240" s="13"/>
    </row>
    <row r="241" spans="2:27" x14ac:dyDescent="0.35">
      <c r="C241" s="27"/>
      <c r="D241" s="27"/>
      <c r="E241" t="s">
        <v>630</v>
      </c>
      <c r="G241" s="6" t="s">
        <v>55</v>
      </c>
      <c r="H241" s="93">
        <f>SUM(H239, H237)</f>
        <v>0</v>
      </c>
      <c r="J241" s="154"/>
      <c r="K241" s="13"/>
      <c r="L241" s="154"/>
      <c r="M241" s="13"/>
      <c r="N241" s="13"/>
      <c r="O241" s="13"/>
      <c r="P241" s="13"/>
      <c r="Q241" s="13"/>
      <c r="R241" s="13"/>
      <c r="S241" s="13"/>
      <c r="T241" s="13"/>
      <c r="U241" s="13"/>
      <c r="V241" s="13"/>
      <c r="W241" s="13"/>
      <c r="X241" s="13"/>
      <c r="Y241" s="13"/>
    </row>
    <row r="242" spans="2:27" x14ac:dyDescent="0.35">
      <c r="C242" s="27"/>
      <c r="D242" s="27"/>
      <c r="E242" s="27"/>
      <c r="J242" s="53"/>
      <c r="L242" s="53"/>
    </row>
    <row r="243" spans="2:27" x14ac:dyDescent="0.35">
      <c r="B243" s="25" t="s">
        <v>106</v>
      </c>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row>
  </sheetData>
  <sheetProtection sheet="1" objects="1" formatCells="0" formatColumns="0" formatRows="0" sort="0" autoFilter="0"/>
  <conditionalFormatting sqref="H239:H240">
    <cfRule type="cellIs" dxfId="119" priority="22" operator="greaterThan">
      <formula>0</formula>
    </cfRule>
  </conditionalFormatting>
  <conditionalFormatting sqref="H237">
    <cfRule type="cellIs" dxfId="118" priority="20" operator="greaterThan">
      <formula>0</formula>
    </cfRule>
  </conditionalFormatting>
  <conditionalFormatting sqref="A4:I4 Z4:XFD4">
    <cfRule type="expression" dxfId="117" priority="18">
      <formula>LEFT($A$4,1) &lt;&gt; "0"</formula>
    </cfRule>
  </conditionalFormatting>
  <conditionalFormatting sqref="N239:P241">
    <cfRule type="cellIs" dxfId="116" priority="17" operator="greaterThan">
      <formula>0</formula>
    </cfRule>
  </conditionalFormatting>
  <conditionalFormatting sqref="N4:P4">
    <cfRule type="expression" dxfId="115" priority="16">
      <formula>LEFT($A$4,1) &lt;&gt; "0"</formula>
    </cfRule>
  </conditionalFormatting>
  <conditionalFormatting sqref="L239:M241">
    <cfRule type="cellIs" dxfId="114" priority="15" operator="greaterThan">
      <formula>0</formula>
    </cfRule>
  </conditionalFormatting>
  <conditionalFormatting sqref="L4:M4">
    <cfRule type="expression" dxfId="113" priority="14">
      <formula>LEFT($A$4,1) &lt;&gt; "0"</formula>
    </cfRule>
  </conditionalFormatting>
  <conditionalFormatting sqref="J239:K241">
    <cfRule type="cellIs" dxfId="112" priority="13" operator="greaterThan">
      <formula>0</formula>
    </cfRule>
  </conditionalFormatting>
  <conditionalFormatting sqref="J4:K4">
    <cfRule type="expression" dxfId="111" priority="12">
      <formula>LEFT($A$4,1) &lt;&gt; "0"</formula>
    </cfRule>
  </conditionalFormatting>
  <conditionalFormatting sqref="Q239:Q241">
    <cfRule type="cellIs" dxfId="110" priority="11" operator="greaterThan">
      <formula>0</formula>
    </cfRule>
  </conditionalFormatting>
  <conditionalFormatting sqref="Q4">
    <cfRule type="expression" dxfId="109" priority="10">
      <formula>LEFT($A$4,1) &lt;&gt; "0"</formula>
    </cfRule>
  </conditionalFormatting>
  <conditionalFormatting sqref="R239:S241">
    <cfRule type="cellIs" dxfId="108" priority="9" operator="greaterThan">
      <formula>0</formula>
    </cfRule>
  </conditionalFormatting>
  <conditionalFormatting sqref="R4:S4">
    <cfRule type="expression" dxfId="107" priority="8">
      <formula>LEFT($A$4,1) &lt;&gt; "0"</formula>
    </cfRule>
  </conditionalFormatting>
  <conditionalFormatting sqref="T239:U241">
    <cfRule type="cellIs" dxfId="106" priority="7" operator="greaterThan">
      <formula>0</formula>
    </cfRule>
  </conditionalFormatting>
  <conditionalFormatting sqref="T4:U4">
    <cfRule type="expression" dxfId="105" priority="6">
      <formula>LEFT($A$4,1) &lt;&gt; "0"</formula>
    </cfRule>
  </conditionalFormatting>
  <conditionalFormatting sqref="V239:W241">
    <cfRule type="cellIs" dxfId="104" priority="5" operator="greaterThan">
      <formula>0</formula>
    </cfRule>
  </conditionalFormatting>
  <conditionalFormatting sqref="V4:W4">
    <cfRule type="expression" dxfId="103" priority="4">
      <formula>LEFT($A$4,1) &lt;&gt; "0"</formula>
    </cfRule>
  </conditionalFormatting>
  <conditionalFormatting sqref="X239:Y241">
    <cfRule type="cellIs" dxfId="102" priority="3" operator="greaterThan">
      <formula>0</formula>
    </cfRule>
  </conditionalFormatting>
  <conditionalFormatting sqref="X4:Y4">
    <cfRule type="expression" dxfId="101" priority="2">
      <formula>LEFT($A$4,1) &lt;&gt; "0"</formula>
    </cfRule>
  </conditionalFormatting>
  <conditionalFormatting sqref="H241">
    <cfRule type="cellIs" dxfId="100" priority="1" operator="greaterThan">
      <formula>0</formula>
    </cfRule>
  </conditionalFormatting>
  <hyperlinks>
    <hyperlink ref="B5:F5" location="'Model map'!A1" display="Click here to return to model map" xr:uid="{00000000-0004-0000-11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9" width="24.54296875" hidden="1" customWidth="1"/>
    <col min="30" max="30" width="3.54296875" hidden="1" customWidth="1"/>
    <col min="31" max="31" width="15.453125" hidden="1" customWidth="1"/>
    <col min="32" max="315" width="24.54296875" hidden="1" customWidth="1"/>
    <col min="316" max="16384" width="8.54296875" hidden="1"/>
  </cols>
  <sheetData>
    <row r="1" spans="1:27" s="1" customFormat="1" x14ac:dyDescent="0.35">
      <c r="A1" s="1" t="str">
        <f ca="1">MID(CELL("filename",A1),FIND("]",CELL("filename",A1))+1,255)</f>
        <v>Service model charges</v>
      </c>
    </row>
    <row r="2" spans="1:27" s="1" customFormat="1" x14ac:dyDescent="0.35">
      <c r="A2" s="1" t="str">
        <f>Cover!D21&amp;" - "&amp;Cover!D23</f>
        <v>Southern Electric Power Distribution - Final</v>
      </c>
    </row>
    <row r="3" spans="1:27" s="5" customFormat="1" x14ac:dyDescent="0.35">
      <c r="A3" s="5" t="str">
        <f>Cover!D2&amp;" - "&amp;Cover!D8&amp;" v"&amp;Cover!D10&amp;" - "&amp;Cover!D19</f>
        <v>CDCM charging model - Release for charge setting v9 - 2024/25</v>
      </c>
    </row>
    <row r="4" spans="1:27" x14ac:dyDescent="0.35">
      <c r="A4" s="11" t="str">
        <f>H48 &amp; IF(H48 = 1, " issue", " issues") &amp;" identified in checks on this sheet"</f>
        <v>0 issues identified in checks on this sheet</v>
      </c>
      <c r="B4" s="12"/>
      <c r="C4" s="12"/>
      <c r="D4" s="12"/>
      <c r="E4" s="12"/>
      <c r="F4" s="12"/>
      <c r="G4" s="12"/>
      <c r="H4" s="13"/>
      <c r="I4" s="13"/>
    </row>
    <row r="5" spans="1:27" ht="43.5" x14ac:dyDescent="0.3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3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35">
      <c r="C9" s="24" t="s">
        <v>631</v>
      </c>
      <c r="D9"/>
      <c r="F9" s="24"/>
    </row>
    <row r="10" spans="1:27" x14ac:dyDescent="0.35">
      <c r="C10" s="24" t="s">
        <v>632</v>
      </c>
      <c r="D10"/>
      <c r="E10"/>
      <c r="F10" s="24"/>
    </row>
    <row r="11" spans="1:27" x14ac:dyDescent="0.35">
      <c r="C11" s="24" t="s">
        <v>633</v>
      </c>
    </row>
    <row r="13" spans="1:27" x14ac:dyDescent="0.35">
      <c r="B13" s="25" t="s">
        <v>634</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4" spans="1:27" x14ac:dyDescent="0.35">
      <c r="C14" s="78"/>
    </row>
    <row r="15" spans="1:27" x14ac:dyDescent="0.35">
      <c r="B15" s="2"/>
      <c r="C15" s="24" t="s">
        <v>635</v>
      </c>
    </row>
    <row r="16" spans="1:27" x14ac:dyDescent="0.35">
      <c r="C16" s="78"/>
    </row>
    <row r="17" spans="2:27" x14ac:dyDescent="0.35">
      <c r="C17" s="26" t="str">
        <f ca="1">INDEX('Version control'!$H$38:$H$61,MATCH($A$1,'Version control'!$F$38:$F$61,0),1)&amp;"-A: Inputs to service model charge calculation"</f>
        <v>Section 110-A: Inputs to service model charge calculation</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2:27" x14ac:dyDescent="0.35">
      <c r="C18" s="78"/>
    </row>
    <row r="19" spans="2:27" x14ac:dyDescent="0.35">
      <c r="D19"/>
      <c r="E19" s="23" t="s">
        <v>567</v>
      </c>
      <c r="F19" s="23"/>
      <c r="G19" s="23" t="s">
        <v>167</v>
      </c>
      <c r="H19" s="169">
        <f>'Unit costs'!$H$121</f>
        <v>4.8585551125484371E-2</v>
      </c>
      <c r="I19" s="3"/>
      <c r="J19" s="3"/>
      <c r="K19" s="3"/>
      <c r="L19" s="3"/>
      <c r="M19" s="3"/>
      <c r="N19" s="3"/>
      <c r="P19" s="3"/>
    </row>
    <row r="20" spans="2:27" x14ac:dyDescent="0.35">
      <c r="C20" s="78"/>
      <c r="E20" t="s">
        <v>597</v>
      </c>
      <c r="G20" t="s">
        <v>356</v>
      </c>
      <c r="H20" s="110">
        <f>'Unit costs'!$H$122</f>
        <v>264654569.97353205</v>
      </c>
    </row>
    <row r="21" spans="2:27" x14ac:dyDescent="0.35">
      <c r="C21" s="78"/>
      <c r="E21" t="s">
        <v>636</v>
      </c>
      <c r="G21" t="s">
        <v>356</v>
      </c>
      <c r="H21" s="110">
        <f>'Unit costs'!$H$123</f>
        <v>8176939398.3413258</v>
      </c>
    </row>
    <row r="22" spans="2:27" x14ac:dyDescent="0.35">
      <c r="D22" s="78"/>
      <c r="E22"/>
    </row>
    <row r="23" spans="2:27" x14ac:dyDescent="0.35">
      <c r="D23"/>
      <c r="E23" s="27" t="s">
        <v>637</v>
      </c>
      <c r="H23" s="53"/>
      <c r="J23" s="53"/>
      <c r="K23" s="53"/>
      <c r="L23" s="53"/>
      <c r="M23" s="53"/>
      <c r="N23" s="53"/>
    </row>
    <row r="24" spans="2:27" x14ac:dyDescent="0.35">
      <c r="D24"/>
      <c r="E24" s="24" t="s">
        <v>638</v>
      </c>
      <c r="H24" s="53"/>
    </row>
    <row r="25" spans="2:27" x14ac:dyDescent="0.35">
      <c r="E25" s="78"/>
      <c r="F25" s="19" t="s">
        <v>375</v>
      </c>
      <c r="G25" s="19" t="s">
        <v>261</v>
      </c>
      <c r="H25" s="164"/>
      <c r="I25" s="19"/>
      <c r="J25" s="114">
        <f>'Inputs by customer type'!J187</f>
        <v>423.85531050027987</v>
      </c>
      <c r="K25" s="114">
        <f>'Inputs by customer type'!K187</f>
        <v>0</v>
      </c>
      <c r="L25" s="114">
        <f>'Inputs by customer type'!L187</f>
        <v>867.80010243660013</v>
      </c>
      <c r="M25" s="114">
        <f>'Inputs by customer type'!M187</f>
        <v>0</v>
      </c>
      <c r="N25" s="114">
        <f>'Inputs by customer type'!N187</f>
        <v>2572.1822023595005</v>
      </c>
      <c r="O25" s="114">
        <f>'Inputs by customer type'!O187</f>
        <v>6597.9134244200004</v>
      </c>
      <c r="P25" s="114">
        <f>'Inputs by customer type'!P187</f>
        <v>0</v>
      </c>
      <c r="Q25" s="73"/>
      <c r="R25" s="114">
        <f>'Inputs by customer type'!R187</f>
        <v>0</v>
      </c>
      <c r="S25" s="114">
        <f>'Inputs by customer type'!S187</f>
        <v>0</v>
      </c>
      <c r="T25" s="114">
        <f>'Inputs by customer type'!T187</f>
        <v>0</v>
      </c>
      <c r="U25" s="114">
        <f>'Inputs by customer type'!U187</f>
        <v>0</v>
      </c>
      <c r="V25" s="114">
        <f>'Inputs by customer type'!V187</f>
        <v>0</v>
      </c>
      <c r="W25" s="114">
        <f>'Inputs by customer type'!W187</f>
        <v>0</v>
      </c>
      <c r="X25" s="114">
        <f>'Inputs by customer type'!X187</f>
        <v>0</v>
      </c>
      <c r="Y25" s="114">
        <f>'Inputs by customer type'!Y187</f>
        <v>0</v>
      </c>
    </row>
    <row r="26" spans="2:27" x14ac:dyDescent="0.35">
      <c r="E26" s="78"/>
      <c r="F26" t="s">
        <v>376</v>
      </c>
      <c r="G26" t="s">
        <v>261</v>
      </c>
      <c r="H26" s="41"/>
      <c r="J26" s="110">
        <f>'Inputs by customer type'!J188</f>
        <v>0</v>
      </c>
      <c r="K26" s="110">
        <f>'Inputs by customer type'!K188</f>
        <v>0</v>
      </c>
      <c r="L26" s="110">
        <f>'Inputs by customer type'!L188</f>
        <v>0</v>
      </c>
      <c r="M26" s="110">
        <f>'Inputs by customer type'!M188</f>
        <v>0</v>
      </c>
      <c r="N26" s="110">
        <f>'Inputs by customer type'!N188</f>
        <v>0</v>
      </c>
      <c r="O26" s="110">
        <f>'Inputs by customer type'!O188</f>
        <v>0</v>
      </c>
      <c r="P26" s="110">
        <f>'Inputs by customer type'!P188</f>
        <v>23585.1893584875</v>
      </c>
      <c r="Q26" s="69"/>
      <c r="R26" s="110">
        <f>'Inputs by customer type'!R188</f>
        <v>0</v>
      </c>
      <c r="S26" s="110">
        <f>'Inputs by customer type'!S188</f>
        <v>0</v>
      </c>
      <c r="T26" s="110">
        <f>'Inputs by customer type'!T188</f>
        <v>0</v>
      </c>
      <c r="U26" s="110">
        <f>'Inputs by customer type'!U188</f>
        <v>0</v>
      </c>
      <c r="V26" s="110">
        <f>'Inputs by customer type'!V188</f>
        <v>0</v>
      </c>
      <c r="W26" s="110">
        <f>'Inputs by customer type'!W188</f>
        <v>0</v>
      </c>
      <c r="X26" s="110">
        <f>'Inputs by customer type'!X188</f>
        <v>46956.273676054996</v>
      </c>
      <c r="Y26" s="110">
        <f>'Inputs by customer type'!Y188</f>
        <v>46956.273676054996</v>
      </c>
    </row>
    <row r="27" spans="2:27" x14ac:dyDescent="0.35">
      <c r="E27" s="78"/>
      <c r="F27" s="28" t="s">
        <v>552</v>
      </c>
      <c r="G27" s="28" t="s">
        <v>264</v>
      </c>
      <c r="H27" s="28"/>
      <c r="I27" s="28"/>
      <c r="J27" s="71"/>
      <c r="K27" s="71"/>
      <c r="L27" s="71"/>
      <c r="M27" s="71"/>
      <c r="N27" s="71"/>
      <c r="O27" s="71"/>
      <c r="P27" s="71"/>
      <c r="Q27" s="115">
        <f>'Inputs by customer type'!Q190</f>
        <v>885.61588889473251</v>
      </c>
      <c r="R27" s="71"/>
      <c r="S27" s="71"/>
      <c r="T27" s="71"/>
      <c r="U27" s="71"/>
      <c r="V27" s="71"/>
      <c r="W27" s="71"/>
      <c r="X27" s="71"/>
      <c r="Y27" s="71"/>
    </row>
    <row r="28" spans="2:27" x14ac:dyDescent="0.35">
      <c r="D28" s="78"/>
      <c r="E28"/>
    </row>
    <row r="29" spans="2:27" x14ac:dyDescent="0.35">
      <c r="B29" s="25" t="s">
        <v>639</v>
      </c>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2:27" x14ac:dyDescent="0.35">
      <c r="C30" s="78"/>
    </row>
    <row r="31" spans="2:27" x14ac:dyDescent="0.35">
      <c r="C31" s="24" t="s">
        <v>640</v>
      </c>
    </row>
    <row r="32" spans="2:27" x14ac:dyDescent="0.35">
      <c r="C32" s="78"/>
    </row>
    <row r="33" spans="2:27" x14ac:dyDescent="0.35">
      <c r="C33" s="26" t="str">
        <f ca="1">INDEX('Version control'!$H$38:$H$61,MATCH($A$1,'Version control'!$F$38:$F$61,0),1)&amp;"-B: Calculation of other operating expenditure per £ of notional asset value"</f>
        <v>Section 110-B: Calculation of other operating expenditure per £ of notional asset value</v>
      </c>
      <c r="D33" s="26"/>
      <c r="E33" s="26"/>
      <c r="F33" s="26"/>
      <c r="G33" s="26"/>
      <c r="H33" s="26"/>
      <c r="I33" s="26"/>
      <c r="J33" s="26"/>
      <c r="K33" s="26"/>
      <c r="L33" s="26"/>
      <c r="M33" s="26"/>
      <c r="N33" s="26"/>
      <c r="O33" s="26"/>
      <c r="P33" s="26"/>
      <c r="Q33" s="26"/>
      <c r="R33" s="26"/>
      <c r="S33" s="26"/>
      <c r="T33" s="26"/>
      <c r="U33" s="26"/>
      <c r="V33" s="26"/>
      <c r="W33" s="26"/>
      <c r="X33" s="26"/>
      <c r="Y33" s="26"/>
      <c r="Z33" s="26"/>
      <c r="AA33" s="26"/>
    </row>
    <row r="34" spans="2:27" x14ac:dyDescent="0.35">
      <c r="C34" s="78"/>
    </row>
    <row r="35" spans="2:27" x14ac:dyDescent="0.35">
      <c r="D35"/>
      <c r="E35" t="s">
        <v>641</v>
      </c>
      <c r="G35" t="s">
        <v>277</v>
      </c>
      <c r="H35" s="88">
        <f>IF(H21 &lt;&gt; 0, H20  /H21, 0)</f>
        <v>3.2365969353669984E-2</v>
      </c>
      <c r="I35" t="s">
        <v>154</v>
      </c>
      <c r="J35" s="53"/>
      <c r="K35" s="53"/>
      <c r="L35" s="53"/>
      <c r="M35" s="53"/>
      <c r="N35" s="53"/>
      <c r="O35" s="53"/>
      <c r="P35" s="53"/>
      <c r="Q35" s="53"/>
      <c r="R35" s="53"/>
      <c r="S35" s="53"/>
      <c r="T35" s="53"/>
      <c r="U35" s="53"/>
      <c r="V35" s="53"/>
      <c r="W35" s="53"/>
      <c r="X35" s="53"/>
      <c r="Y35" s="53"/>
      <c r="AA35" t="s">
        <v>642</v>
      </c>
    </row>
    <row r="36" spans="2:27" x14ac:dyDescent="0.35">
      <c r="D36" s="78"/>
      <c r="E36"/>
      <c r="J36" s="53"/>
      <c r="K36" s="53"/>
      <c r="L36" s="53"/>
      <c r="M36" s="53"/>
      <c r="N36" s="53"/>
      <c r="O36" s="53"/>
      <c r="P36" s="53"/>
      <c r="Q36" s="53"/>
      <c r="R36" s="53"/>
      <c r="S36" s="53"/>
      <c r="T36" s="53"/>
      <c r="U36" s="53"/>
      <c r="V36" s="53"/>
      <c r="W36" s="53"/>
      <c r="X36" s="53"/>
      <c r="Y36" s="53"/>
    </row>
    <row r="37" spans="2:27" x14ac:dyDescent="0.35">
      <c r="C37" s="26" t="str">
        <f ca="1">INDEX('Version control'!$H$38:$H$61,MATCH($A$1,'Version control'!$F$38:$F$61,0),1)&amp;"-C: Calculation of service model charges"</f>
        <v>Section 110-C: Calculation of service model charges</v>
      </c>
      <c r="D37" s="26"/>
      <c r="E37" s="26"/>
      <c r="F37" s="26"/>
      <c r="G37" s="26"/>
      <c r="H37" s="26"/>
      <c r="I37" s="26"/>
      <c r="J37" s="26"/>
      <c r="K37" s="26"/>
      <c r="L37" s="26"/>
      <c r="M37" s="26"/>
      <c r="N37" s="26"/>
      <c r="O37" s="26"/>
      <c r="P37" s="26"/>
      <c r="Q37" s="26"/>
      <c r="R37" s="26"/>
      <c r="S37" s="26"/>
      <c r="T37" s="26"/>
      <c r="U37" s="26"/>
      <c r="V37" s="26"/>
      <c r="W37" s="26"/>
      <c r="X37" s="26"/>
      <c r="Y37" s="26"/>
      <c r="Z37" s="26"/>
      <c r="AA37" s="26"/>
    </row>
    <row r="38" spans="2:27" x14ac:dyDescent="0.35">
      <c r="C38" s="78"/>
    </row>
    <row r="39" spans="2:27" x14ac:dyDescent="0.35">
      <c r="D39"/>
      <c r="E39" s="24" t="s">
        <v>643</v>
      </c>
      <c r="H39" s="53"/>
      <c r="J39" s="53"/>
      <c r="K39" s="53"/>
      <c r="L39" s="53"/>
      <c r="M39" s="53"/>
      <c r="N39" s="53"/>
      <c r="O39" s="53"/>
      <c r="P39" s="53"/>
      <c r="Q39" s="53"/>
      <c r="R39" s="53"/>
      <c r="S39" s="53"/>
      <c r="T39" s="53"/>
      <c r="U39" s="53"/>
      <c r="V39" s="53"/>
      <c r="W39" s="53"/>
      <c r="X39" s="53"/>
      <c r="Y39" s="53"/>
    </row>
    <row r="40" spans="2:27" x14ac:dyDescent="0.35">
      <c r="D40"/>
      <c r="E40" s="24"/>
      <c r="H40" s="53"/>
      <c r="J40" s="53"/>
      <c r="K40" s="53"/>
      <c r="L40" s="53"/>
      <c r="M40" s="53"/>
      <c r="N40" s="53"/>
      <c r="O40" s="53"/>
      <c r="P40" s="53"/>
      <c r="Q40" s="53"/>
      <c r="R40" s="53"/>
      <c r="S40" s="53"/>
      <c r="T40" s="53"/>
      <c r="U40" s="53"/>
      <c r="V40" s="53"/>
      <c r="W40" s="53"/>
      <c r="X40" s="53"/>
      <c r="Y40" s="53"/>
    </row>
    <row r="41" spans="2:27" x14ac:dyDescent="0.35">
      <c r="D41"/>
      <c r="E41" s="27" t="s">
        <v>644</v>
      </c>
      <c r="H41" s="53"/>
      <c r="I41" t="s">
        <v>154</v>
      </c>
      <c r="J41" s="53"/>
      <c r="K41" s="53"/>
      <c r="L41" s="53"/>
      <c r="M41" s="53"/>
      <c r="N41" s="53"/>
      <c r="O41" s="53"/>
      <c r="P41" s="53"/>
      <c r="Q41" s="53"/>
      <c r="R41" s="53"/>
      <c r="S41" s="53"/>
      <c r="T41" s="53"/>
      <c r="U41" s="53"/>
      <c r="V41" s="53"/>
      <c r="W41" s="53"/>
      <c r="X41" s="53"/>
      <c r="Y41" s="53"/>
      <c r="AA41" t="s">
        <v>645</v>
      </c>
    </row>
    <row r="42" spans="2:27" x14ac:dyDescent="0.35">
      <c r="D42"/>
      <c r="E42" s="78"/>
      <c r="F42" s="19" t="s">
        <v>375</v>
      </c>
      <c r="G42" s="19" t="s">
        <v>270</v>
      </c>
      <c r="H42" s="164"/>
      <c r="I42" s="19"/>
      <c r="J42" s="91">
        <f t="shared" ref="J42:K42" si="0">J25 * $H$35 / days_in_year * hundred</f>
        <v>3.7584898602855707</v>
      </c>
      <c r="K42" s="91">
        <f t="shared" si="0"/>
        <v>0</v>
      </c>
      <c r="L42" s="91">
        <f t="shared" ref="L42:M42" si="1">L25 * $H$35 / days_in_year * hundred</f>
        <v>7.6951209645410064</v>
      </c>
      <c r="M42" s="91">
        <f t="shared" si="1"/>
        <v>0</v>
      </c>
      <c r="N42" s="91">
        <f t="shared" ref="N42:P42" si="2">N25 * $H$35 / days_in_year * hundred</f>
        <v>22.808539817430944</v>
      </c>
      <c r="O42" s="91">
        <f t="shared" si="2"/>
        <v>58.506264025464517</v>
      </c>
      <c r="P42" s="91">
        <f t="shared" si="2"/>
        <v>0</v>
      </c>
      <c r="Q42" s="91">
        <f t="shared" ref="Q42:S42" si="3">Q25 * $H$35 / days_in_year * hundred</f>
        <v>0</v>
      </c>
      <c r="R42" s="91">
        <f t="shared" si="3"/>
        <v>0</v>
      </c>
      <c r="S42" s="91">
        <f t="shared" si="3"/>
        <v>0</v>
      </c>
      <c r="T42" s="91">
        <f t="shared" ref="T42:U42" si="4">T25 * $H$35 / days_in_year * hundred</f>
        <v>0</v>
      </c>
      <c r="U42" s="91">
        <f t="shared" si="4"/>
        <v>0</v>
      </c>
      <c r="V42" s="91">
        <f t="shared" ref="V42:W42" si="5">V25 * $H$35 / days_in_year * hundred</f>
        <v>0</v>
      </c>
      <c r="W42" s="91">
        <f t="shared" si="5"/>
        <v>0</v>
      </c>
      <c r="X42" s="91">
        <f t="shared" ref="X42:Y42" si="6">X25 * $H$35 / days_in_year * hundred</f>
        <v>0</v>
      </c>
      <c r="Y42" s="91">
        <f t="shared" si="6"/>
        <v>0</v>
      </c>
    </row>
    <row r="43" spans="2:27" x14ac:dyDescent="0.35">
      <c r="D43"/>
      <c r="E43" s="78"/>
      <c r="F43" t="s">
        <v>376</v>
      </c>
      <c r="G43" t="s">
        <v>270</v>
      </c>
      <c r="H43" s="41"/>
      <c r="J43" s="111">
        <f t="shared" ref="J43:K43" si="7">J26 * $H$35 / days_in_year * hundred</f>
        <v>0</v>
      </c>
      <c r="K43" s="111">
        <f t="shared" si="7"/>
        <v>0</v>
      </c>
      <c r="L43" s="111">
        <f t="shared" ref="L43:M43" si="8">L26 * $H$35 / days_in_year * hundred</f>
        <v>0</v>
      </c>
      <c r="M43" s="111">
        <f t="shared" si="8"/>
        <v>0</v>
      </c>
      <c r="N43" s="111">
        <f t="shared" ref="N43:P43" si="9">N26 * $H$35 / days_in_year * hundred</f>
        <v>0</v>
      </c>
      <c r="O43" s="111">
        <f t="shared" si="9"/>
        <v>0</v>
      </c>
      <c r="P43" s="111">
        <f t="shared" si="9"/>
        <v>209.1390454732356</v>
      </c>
      <c r="Q43" s="111">
        <f t="shared" ref="Q43:S43" si="10">Q26 * $H$35 / days_in_year * hundred</f>
        <v>0</v>
      </c>
      <c r="R43" s="111">
        <f t="shared" si="10"/>
        <v>0</v>
      </c>
      <c r="S43" s="111">
        <f t="shared" si="10"/>
        <v>0</v>
      </c>
      <c r="T43" s="111">
        <f t="shared" ref="T43:U43" si="11">T26 * $H$35 / days_in_year * hundred</f>
        <v>0</v>
      </c>
      <c r="U43" s="111">
        <f t="shared" si="11"/>
        <v>0</v>
      </c>
      <c r="V43" s="111">
        <f t="shared" ref="V43:W43" si="12">V26 * $H$35 / days_in_year * hundred</f>
        <v>0</v>
      </c>
      <c r="W43" s="111">
        <f t="shared" si="12"/>
        <v>0</v>
      </c>
      <c r="X43" s="111">
        <f t="shared" ref="X43:Y43" si="13">X26 * $H$35 / days_in_year * hundred</f>
        <v>416.37953829088679</v>
      </c>
      <c r="Y43" s="111">
        <f t="shared" si="13"/>
        <v>416.37953829088679</v>
      </c>
    </row>
    <row r="44" spans="2:27" x14ac:dyDescent="0.35">
      <c r="D44"/>
      <c r="E44" s="78"/>
      <c r="F44" s="28" t="s">
        <v>552</v>
      </c>
      <c r="G44" s="28" t="s">
        <v>269</v>
      </c>
      <c r="H44" s="258"/>
      <c r="I44" s="258"/>
      <c r="J44" s="259"/>
      <c r="K44" s="259"/>
      <c r="L44" s="259"/>
      <c r="M44" s="259"/>
      <c r="N44" s="259"/>
      <c r="O44" s="259"/>
      <c r="P44" s="259"/>
      <c r="Q44" s="266">
        <f t="shared" ref="Q44" si="14">Q27*$H$35/ten</f>
        <v>2.8663816719090116</v>
      </c>
      <c r="R44" s="259"/>
      <c r="S44" s="259"/>
      <c r="T44" s="259"/>
      <c r="U44" s="259"/>
      <c r="V44" s="259"/>
      <c r="W44" s="259"/>
      <c r="X44" s="259"/>
      <c r="Y44" s="259"/>
      <c r="Z44" s="256"/>
      <c r="AA44" s="256"/>
    </row>
    <row r="45" spans="2:27" x14ac:dyDescent="0.35">
      <c r="D45" s="78"/>
      <c r="E45"/>
    </row>
    <row r="46" spans="2:27" x14ac:dyDescent="0.35">
      <c r="B46" s="25" t="s">
        <v>231</v>
      </c>
      <c r="C46" s="25"/>
      <c r="D46" s="25"/>
      <c r="E46" s="25"/>
      <c r="F46" s="25"/>
      <c r="G46" s="25"/>
      <c r="H46" s="25"/>
      <c r="I46" s="25"/>
      <c r="J46" s="25"/>
      <c r="K46" s="25"/>
      <c r="L46" s="25"/>
      <c r="M46" s="25"/>
      <c r="N46" s="25"/>
      <c r="O46" s="25"/>
      <c r="P46" s="25"/>
      <c r="Q46" s="25"/>
      <c r="R46" s="25"/>
      <c r="S46" s="25"/>
      <c r="T46" s="25"/>
      <c r="U46" s="25"/>
      <c r="V46" s="25"/>
      <c r="W46" s="25"/>
      <c r="X46" s="25"/>
      <c r="Y46" s="25"/>
      <c r="Z46" s="25"/>
      <c r="AA46" s="25"/>
    </row>
    <row r="48" spans="2:27" x14ac:dyDescent="0.35">
      <c r="E48" t="s">
        <v>232</v>
      </c>
      <c r="G48" s="6" t="s">
        <v>55</v>
      </c>
      <c r="H48" s="93">
        <f t="array" ref="H48">SUM(IF(ISERROR(H19:Y45), 1))</f>
        <v>0</v>
      </c>
    </row>
    <row r="50" spans="2:27" x14ac:dyDescent="0.35">
      <c r="B50" s="25" t="s">
        <v>106</v>
      </c>
      <c r="C50" s="94"/>
      <c r="D50" s="102"/>
      <c r="E50" s="102"/>
      <c r="F50" s="94"/>
      <c r="G50" s="94"/>
      <c r="H50" s="94"/>
      <c r="I50" s="94"/>
      <c r="J50" s="94"/>
      <c r="K50" s="94"/>
      <c r="L50" s="94"/>
      <c r="M50" s="94"/>
      <c r="N50" s="94"/>
      <c r="O50" s="94"/>
      <c r="P50" s="94"/>
      <c r="Q50" s="94"/>
      <c r="R50" s="94"/>
      <c r="S50" s="94"/>
      <c r="T50" s="94"/>
      <c r="U50" s="94"/>
      <c r="V50" s="94"/>
      <c r="W50" s="94"/>
      <c r="X50" s="94"/>
      <c r="Y50" s="94"/>
      <c r="Z50" s="95"/>
      <c r="AA50" s="95"/>
    </row>
  </sheetData>
  <sheetProtection sheet="1" objects="1" formatCells="0" formatColumns="0" formatRows="0" sort="0" autoFilter="0"/>
  <conditionalFormatting sqref="A4:I4 Z4:XFD4">
    <cfRule type="expression" dxfId="99" priority="10">
      <formula>LEFT($A$4,1) &lt;&gt; "0"</formula>
    </cfRule>
  </conditionalFormatting>
  <conditionalFormatting sqref="N4:P4">
    <cfRule type="expression" dxfId="98" priority="9">
      <formula>LEFT($A$4,1) &lt;&gt; "0"</formula>
    </cfRule>
  </conditionalFormatting>
  <conditionalFormatting sqref="L4:M4">
    <cfRule type="expression" dxfId="97" priority="8">
      <formula>LEFT($A$4,1) &lt;&gt; "0"</formula>
    </cfRule>
  </conditionalFormatting>
  <conditionalFormatting sqref="J4:K4">
    <cfRule type="expression" dxfId="96" priority="7">
      <formula>LEFT($A$4,1) &lt;&gt; "0"</formula>
    </cfRule>
  </conditionalFormatting>
  <conditionalFormatting sqref="Q4">
    <cfRule type="expression" dxfId="95" priority="6">
      <formula>LEFT($A$4,1) &lt;&gt; "0"</formula>
    </cfRule>
  </conditionalFormatting>
  <conditionalFormatting sqref="R4:S4">
    <cfRule type="expression" dxfId="94" priority="5">
      <formula>LEFT($A$4,1) &lt;&gt; "0"</formula>
    </cfRule>
  </conditionalFormatting>
  <conditionalFormatting sqref="T4:U4">
    <cfRule type="expression" dxfId="93" priority="4">
      <formula>LEFT($A$4,1) &lt;&gt; "0"</formula>
    </cfRule>
  </conditionalFormatting>
  <conditionalFormatting sqref="V4:W4">
    <cfRule type="expression" dxfId="92" priority="3">
      <formula>LEFT($A$4,1) &lt;&gt; "0"</formula>
    </cfRule>
  </conditionalFormatting>
  <conditionalFormatting sqref="X4:Y4">
    <cfRule type="expression" dxfId="91" priority="2">
      <formula>LEFT($A$4,1) &lt;&gt; "0"</formula>
    </cfRule>
  </conditionalFormatting>
  <conditionalFormatting sqref="H48">
    <cfRule type="cellIs" dxfId="90" priority="1" operator="greaterThan">
      <formula>0</formula>
    </cfRule>
  </conditionalFormatting>
  <hyperlinks>
    <hyperlink ref="B5:F5" location="'Model map'!A1" display="Click here to return to model map" xr:uid="{00000000-0004-0000-12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39997558519241921"/>
  </sheetPr>
  <dimension ref="A1:M79"/>
  <sheetViews>
    <sheetView showGridLines="0" zoomScale="90" zoomScaleNormal="90" workbookViewId="0">
      <pane ySplit="3" topLeftCell="A4" activePane="bottomLeft" state="frozen"/>
      <selection pane="bottomLeft"/>
    </sheetView>
  </sheetViews>
  <sheetFormatPr defaultColWidth="0" defaultRowHeight="14.5" x14ac:dyDescent="0.35"/>
  <cols>
    <col min="1" max="5" width="2.54296875" style="6" customWidth="1"/>
    <col min="6" max="6" width="20.54296875" style="6" customWidth="1"/>
    <col min="7" max="7" width="22.54296875" style="6" customWidth="1"/>
    <col min="8" max="8" width="24.453125" style="6" customWidth="1"/>
    <col min="9" max="9" width="30.54296875" style="6" customWidth="1"/>
    <col min="10" max="10" width="19.453125" style="6" bestFit="1" customWidth="1"/>
    <col min="11" max="11" width="10.54296875" style="6" customWidth="1"/>
    <col min="12" max="12" width="82.54296875" style="6" customWidth="1"/>
    <col min="13" max="13" width="2.54296875" style="6" customWidth="1"/>
    <col min="14" max="16384" width="9.453125" style="6" hidden="1"/>
  </cols>
  <sheetData>
    <row r="1" spans="1:13" s="1" customFormat="1" x14ac:dyDescent="0.35">
      <c r="A1" s="1" t="str">
        <f ca="1">MID(CELL("filename",A1),FIND("]",CELL("filename",A1))+1,255)</f>
        <v>Version control</v>
      </c>
    </row>
    <row r="2" spans="1:13" s="1" customFormat="1" x14ac:dyDescent="0.35">
      <c r="A2" s="1" t="str">
        <f>Cover!D21&amp;" - "&amp;Cover!D23</f>
        <v>Southern Electric Power Distribution - Final</v>
      </c>
    </row>
    <row r="3" spans="1:13" s="5" customFormat="1" x14ac:dyDescent="0.35">
      <c r="A3" s="5" t="str">
        <f>Cover!D2&amp;" - "&amp;Cover!D8&amp;" v"&amp;Cover!D10&amp;" - "&amp;Cover!D19</f>
        <v>CDCM charging model - Release for charge setting v9 - 2024/25</v>
      </c>
    </row>
    <row r="4" spans="1:13" customFormat="1" x14ac:dyDescent="0.35">
      <c r="A4" s="11" t="str">
        <f>J62 &amp; IF(J62 = 1, " issue", " issues") &amp;" identified in checks on this sheet"</f>
        <v>0 issues identified in checks on this sheet</v>
      </c>
      <c r="B4" s="12"/>
      <c r="C4" s="12"/>
      <c r="D4" s="12"/>
      <c r="E4" s="12"/>
      <c r="F4" s="12"/>
      <c r="G4" s="12"/>
      <c r="H4" s="13"/>
      <c r="I4" s="13"/>
      <c r="J4" s="12"/>
    </row>
    <row r="5" spans="1:13" x14ac:dyDescent="0.35">
      <c r="A5" s="30"/>
      <c r="B5" s="31" t="s">
        <v>32</v>
      </c>
      <c r="C5" s="31"/>
      <c r="D5" s="31"/>
      <c r="E5" s="31"/>
      <c r="F5" s="31"/>
      <c r="G5" s="32"/>
      <c r="H5" s="32"/>
      <c r="I5" s="32"/>
      <c r="J5" s="32"/>
      <c r="K5" s="32"/>
      <c r="L5" s="31"/>
    </row>
    <row r="6" spans="1:13" x14ac:dyDescent="0.35">
      <c r="A6" s="30"/>
      <c r="B6" s="30"/>
      <c r="C6" s="30"/>
      <c r="D6" s="30"/>
      <c r="E6" s="30"/>
      <c r="F6" s="30"/>
      <c r="G6" s="33"/>
      <c r="H6" s="33"/>
      <c r="I6" s="33"/>
      <c r="J6" s="33"/>
      <c r="K6" s="33"/>
      <c r="L6" s="30"/>
    </row>
    <row r="7" spans="1:13" x14ac:dyDescent="0.35">
      <c r="A7" s="30"/>
      <c r="B7" s="30"/>
      <c r="C7" s="30"/>
      <c r="D7" s="30"/>
      <c r="F7" s="30" t="s">
        <v>33</v>
      </c>
      <c r="H7" s="9">
        <f>LOOKUP(2,1/(F20:F34&lt;&gt;""),F20:F34)</f>
        <v>44861</v>
      </c>
      <c r="I7" s="34"/>
      <c r="J7" s="34"/>
      <c r="K7" s="30"/>
      <c r="L7" s="30"/>
    </row>
    <row r="8" spans="1:13" x14ac:dyDescent="0.35">
      <c r="A8" s="30"/>
      <c r="B8" s="30"/>
      <c r="C8" s="30"/>
      <c r="D8" s="30"/>
      <c r="F8" s="30"/>
      <c r="H8" s="30"/>
      <c r="I8" s="33"/>
      <c r="J8" s="33"/>
      <c r="K8" s="30"/>
      <c r="L8" s="30"/>
    </row>
    <row r="9" spans="1:13" x14ac:dyDescent="0.35">
      <c r="A9" s="30"/>
      <c r="B9" s="30"/>
      <c r="C9" s="30"/>
      <c r="D9" s="30"/>
      <c r="F9" s="30" t="s">
        <v>34</v>
      </c>
      <c r="H9" s="35" t="str">
        <f>LOOKUP(2,1/(G20:G34&lt;&gt;""),G20:G34)</f>
        <v>Release for charge setting</v>
      </c>
      <c r="I9" s="36"/>
      <c r="J9" s="36"/>
      <c r="K9" s="30"/>
      <c r="L9" s="30"/>
    </row>
    <row r="10" spans="1:13" x14ac:dyDescent="0.35">
      <c r="A10" s="30"/>
      <c r="B10" s="30"/>
      <c r="C10" s="30"/>
      <c r="D10" s="30"/>
      <c r="F10" s="30"/>
      <c r="H10" s="30"/>
      <c r="I10" s="30"/>
      <c r="J10" s="30"/>
      <c r="K10" s="30"/>
      <c r="L10" s="30"/>
    </row>
    <row r="11" spans="1:13" x14ac:dyDescent="0.35">
      <c r="A11" s="30"/>
      <c r="B11" s="30"/>
      <c r="C11" s="30"/>
      <c r="D11" s="30"/>
      <c r="F11" s="8" t="s">
        <v>823</v>
      </c>
      <c r="H11" s="35">
        <f>LOOKUP(2,1/(H20:H34&lt;&gt;""),H20:H34)</f>
        <v>9</v>
      </c>
      <c r="I11" s="36"/>
      <c r="J11" s="36"/>
      <c r="K11" s="30"/>
      <c r="L11" s="30"/>
    </row>
    <row r="12" spans="1:13" x14ac:dyDescent="0.35">
      <c r="A12" s="30"/>
      <c r="B12" s="30"/>
      <c r="C12" s="30"/>
      <c r="D12" s="30"/>
      <c r="F12" s="30"/>
      <c r="H12" s="30"/>
      <c r="I12" s="33"/>
      <c r="J12" s="33"/>
      <c r="K12" s="30"/>
      <c r="L12" s="30"/>
    </row>
    <row r="13" spans="1:13" customFormat="1" x14ac:dyDescent="0.35">
      <c r="A13" s="8"/>
      <c r="B13" s="8"/>
      <c r="C13" s="8"/>
      <c r="D13" s="8"/>
      <c r="E13" s="6"/>
      <c r="F13" s="30" t="s">
        <v>35</v>
      </c>
      <c r="H13" s="9" t="str">
        <f>LOOKUP(2,1/(I20:I34&lt;&gt;""),I20:I34)</f>
        <v>Attachment A_2024-25 Charging Methodologies Pre-Release (shared 06/10/2022)</v>
      </c>
      <c r="I13" s="10"/>
      <c r="J13" s="10"/>
      <c r="K13" s="10"/>
      <c r="L13" s="8"/>
      <c r="M13" s="8"/>
    </row>
    <row r="14" spans="1:13" customFormat="1" x14ac:dyDescent="0.35">
      <c r="A14" s="8"/>
      <c r="B14" s="8"/>
      <c r="C14" s="8"/>
      <c r="D14" s="8"/>
      <c r="E14" s="6"/>
      <c r="F14" s="8"/>
      <c r="I14" s="10"/>
      <c r="J14" s="10"/>
      <c r="K14" s="10"/>
      <c r="L14" s="8"/>
      <c r="M14" s="8"/>
    </row>
    <row r="15" spans="1:13" x14ac:dyDescent="0.35">
      <c r="A15" s="30"/>
      <c r="B15" s="30"/>
      <c r="C15" s="30"/>
      <c r="D15" s="30"/>
      <c r="F15" s="30" t="s">
        <v>36</v>
      </c>
      <c r="H15" s="35" t="str">
        <f>LOOKUP(2,1/(J20:J34&lt;&gt;""),J20:J34)</f>
        <v>Schedule 16</v>
      </c>
      <c r="I15" s="33"/>
      <c r="J15" s="33"/>
      <c r="K15" s="30"/>
      <c r="L15" s="30"/>
    </row>
    <row r="16" spans="1:13" x14ac:dyDescent="0.35">
      <c r="A16" s="30"/>
      <c r="B16" s="30"/>
      <c r="C16" s="30"/>
      <c r="D16" s="30"/>
      <c r="E16" s="30"/>
      <c r="F16" s="30"/>
      <c r="H16" s="33"/>
      <c r="I16" s="33"/>
      <c r="J16" s="33"/>
      <c r="K16" s="30"/>
      <c r="L16" s="30"/>
    </row>
    <row r="17" spans="1:12" x14ac:dyDescent="0.35">
      <c r="A17" s="30"/>
      <c r="B17" s="31" t="s">
        <v>37</v>
      </c>
      <c r="C17" s="31"/>
      <c r="D17" s="31"/>
      <c r="E17" s="31"/>
      <c r="F17" s="31"/>
      <c r="G17" s="32"/>
      <c r="H17" s="32"/>
      <c r="I17" s="32"/>
      <c r="J17" s="32"/>
      <c r="K17" s="32"/>
      <c r="L17" s="31"/>
    </row>
    <row r="18" spans="1:12" x14ac:dyDescent="0.35">
      <c r="A18" s="30"/>
      <c r="B18" s="30"/>
      <c r="C18" s="30"/>
      <c r="D18" s="30"/>
      <c r="E18" s="30"/>
      <c r="F18" s="30"/>
      <c r="G18" s="33"/>
      <c r="H18" s="30"/>
      <c r="I18" s="30"/>
      <c r="J18" s="30"/>
      <c r="K18" s="30"/>
      <c r="L18" s="30"/>
    </row>
    <row r="19" spans="1:12" x14ac:dyDescent="0.35">
      <c r="A19" s="30"/>
      <c r="B19" s="30"/>
      <c r="C19" s="30"/>
      <c r="D19" s="30"/>
      <c r="E19" s="30"/>
      <c r="F19" s="37" t="s">
        <v>38</v>
      </c>
      <c r="G19" s="38" t="s">
        <v>39</v>
      </c>
      <c r="H19" s="37" t="s">
        <v>820</v>
      </c>
      <c r="I19" s="38" t="s">
        <v>40</v>
      </c>
      <c r="J19" s="38" t="s">
        <v>41</v>
      </c>
      <c r="K19" s="38" t="s">
        <v>42</v>
      </c>
      <c r="L19" s="38" t="s">
        <v>43</v>
      </c>
    </row>
    <row r="20" spans="1:12" ht="29" x14ac:dyDescent="0.35">
      <c r="A20" s="30"/>
      <c r="B20" s="30"/>
      <c r="C20" s="30"/>
      <c r="D20" s="30"/>
      <c r="E20" s="30"/>
      <c r="F20" s="234">
        <v>43250</v>
      </c>
      <c r="G20" s="231" t="s">
        <v>44</v>
      </c>
      <c r="H20" s="231">
        <v>1</v>
      </c>
      <c r="I20" s="231" t="s">
        <v>45</v>
      </c>
      <c r="J20" s="231" t="s">
        <v>46</v>
      </c>
      <c r="K20" s="231" t="s">
        <v>47</v>
      </c>
      <c r="L20" s="231" t="s">
        <v>48</v>
      </c>
    </row>
    <row r="21" spans="1:12" ht="29" x14ac:dyDescent="0.35">
      <c r="A21" s="30"/>
      <c r="B21" s="30"/>
      <c r="C21" s="30"/>
      <c r="D21" s="30"/>
      <c r="E21" s="30"/>
      <c r="F21" s="234">
        <v>43301</v>
      </c>
      <c r="G21" s="231" t="s">
        <v>44</v>
      </c>
      <c r="H21" s="231">
        <v>2</v>
      </c>
      <c r="I21" s="231" t="s">
        <v>49</v>
      </c>
      <c r="J21" s="231" t="s">
        <v>46</v>
      </c>
      <c r="K21" s="231" t="s">
        <v>47</v>
      </c>
      <c r="L21" s="231" t="s">
        <v>50</v>
      </c>
    </row>
    <row r="22" spans="1:12" ht="43.5" x14ac:dyDescent="0.35">
      <c r="A22" s="30"/>
      <c r="B22" s="30"/>
      <c r="C22" s="30"/>
      <c r="D22" s="30"/>
      <c r="E22" s="30"/>
      <c r="F22" s="234">
        <v>43389</v>
      </c>
      <c r="G22" s="231" t="s">
        <v>821</v>
      </c>
      <c r="H22" s="231">
        <v>3</v>
      </c>
      <c r="I22" s="285" t="s">
        <v>822</v>
      </c>
      <c r="J22" s="285" t="s">
        <v>46</v>
      </c>
      <c r="K22" s="285" t="s">
        <v>47</v>
      </c>
      <c r="L22" s="285" t="s">
        <v>824</v>
      </c>
    </row>
    <row r="23" spans="1:12" ht="43.5" x14ac:dyDescent="0.35">
      <c r="A23" s="30"/>
      <c r="B23" s="30"/>
      <c r="C23" s="30"/>
      <c r="D23" s="30"/>
      <c r="E23" s="30"/>
      <c r="F23" s="234">
        <v>43663</v>
      </c>
      <c r="G23" s="231" t="s">
        <v>44</v>
      </c>
      <c r="H23" s="231">
        <v>4</v>
      </c>
      <c r="I23" s="231" t="s">
        <v>855</v>
      </c>
      <c r="J23" s="285" t="s">
        <v>46</v>
      </c>
      <c r="K23" s="285" t="s">
        <v>47</v>
      </c>
      <c r="L23" s="231" t="s">
        <v>856</v>
      </c>
    </row>
    <row r="24" spans="1:12" ht="58" x14ac:dyDescent="0.35">
      <c r="A24" s="30"/>
      <c r="B24" s="30"/>
      <c r="C24" s="30"/>
      <c r="D24" s="30"/>
      <c r="E24" s="30"/>
      <c r="F24" s="234">
        <v>43777</v>
      </c>
      <c r="G24" s="231" t="s">
        <v>821</v>
      </c>
      <c r="H24" s="231">
        <v>5</v>
      </c>
      <c r="I24" s="231" t="s">
        <v>900</v>
      </c>
      <c r="J24" s="231" t="s">
        <v>46</v>
      </c>
      <c r="K24" s="231" t="s">
        <v>47</v>
      </c>
      <c r="L24" s="285" t="s">
        <v>894</v>
      </c>
    </row>
    <row r="25" spans="1:12" ht="72.5" x14ac:dyDescent="0.35">
      <c r="A25" s="30"/>
      <c r="B25" s="30"/>
      <c r="C25" s="30"/>
      <c r="D25" s="30"/>
      <c r="E25" s="30"/>
      <c r="F25" s="234">
        <v>43860</v>
      </c>
      <c r="G25" s="231" t="s">
        <v>821</v>
      </c>
      <c r="H25" s="231">
        <v>6</v>
      </c>
      <c r="I25" s="231" t="s">
        <v>902</v>
      </c>
      <c r="J25" s="231" t="s">
        <v>46</v>
      </c>
      <c r="K25" s="231" t="s">
        <v>47</v>
      </c>
      <c r="L25" s="285" t="s">
        <v>903</v>
      </c>
    </row>
    <row r="26" spans="1:12" ht="29" x14ac:dyDescent="0.35">
      <c r="A26" s="30"/>
      <c r="B26" s="30"/>
      <c r="C26" s="30"/>
      <c r="D26" s="30"/>
      <c r="E26" s="30"/>
      <c r="F26" s="234">
        <v>43977</v>
      </c>
      <c r="G26" s="231" t="s">
        <v>44</v>
      </c>
      <c r="H26" s="231">
        <v>6</v>
      </c>
      <c r="I26" s="231" t="s">
        <v>1124</v>
      </c>
      <c r="J26" s="231" t="s">
        <v>46</v>
      </c>
      <c r="K26" s="231" t="s">
        <v>47</v>
      </c>
      <c r="L26" s="231" t="s">
        <v>1125</v>
      </c>
    </row>
    <row r="27" spans="1:12" ht="58" x14ac:dyDescent="0.35">
      <c r="A27" s="30"/>
      <c r="B27" s="30"/>
      <c r="C27" s="30"/>
      <c r="D27" s="30"/>
      <c r="E27" s="30"/>
      <c r="F27" s="234">
        <v>44141</v>
      </c>
      <c r="G27" s="231" t="s">
        <v>821</v>
      </c>
      <c r="H27" s="231">
        <v>7</v>
      </c>
      <c r="I27" s="231" t="s">
        <v>1136</v>
      </c>
      <c r="J27" s="231" t="s">
        <v>46</v>
      </c>
      <c r="K27" s="231" t="s">
        <v>47</v>
      </c>
      <c r="L27" s="231" t="s">
        <v>1137</v>
      </c>
    </row>
    <row r="28" spans="1:12" ht="29" x14ac:dyDescent="0.35">
      <c r="A28" s="30"/>
      <c r="B28" s="30"/>
      <c r="C28" s="30"/>
      <c r="D28" s="30"/>
      <c r="E28" s="30"/>
      <c r="F28" s="234">
        <v>44225</v>
      </c>
      <c r="G28" s="231" t="s">
        <v>44</v>
      </c>
      <c r="H28" s="231">
        <v>7</v>
      </c>
      <c r="I28" s="231" t="s">
        <v>1152</v>
      </c>
      <c r="J28" s="231" t="s">
        <v>46</v>
      </c>
      <c r="K28" s="231" t="s">
        <v>47</v>
      </c>
      <c r="L28" s="231" t="s">
        <v>1153</v>
      </c>
    </row>
    <row r="29" spans="1:12" ht="87" x14ac:dyDescent="0.35">
      <c r="A29" s="30"/>
      <c r="B29" s="30"/>
      <c r="C29" s="30"/>
      <c r="D29" s="30"/>
      <c r="E29" s="30"/>
      <c r="F29" s="423">
        <v>44250</v>
      </c>
      <c r="G29" s="231" t="s">
        <v>821</v>
      </c>
      <c r="H29" s="425">
        <v>8</v>
      </c>
      <c r="I29" s="285" t="s">
        <v>1154</v>
      </c>
      <c r="J29" s="231" t="s">
        <v>46</v>
      </c>
      <c r="K29" s="424" t="s">
        <v>47</v>
      </c>
      <c r="L29" s="424" t="s">
        <v>1155</v>
      </c>
    </row>
    <row r="30" spans="1:12" ht="58" x14ac:dyDescent="0.35">
      <c r="A30" s="30"/>
      <c r="B30" s="30"/>
      <c r="C30" s="30"/>
      <c r="D30" s="30"/>
      <c r="E30" s="30"/>
      <c r="F30" s="423">
        <v>44522</v>
      </c>
      <c r="G30" s="231" t="s">
        <v>821</v>
      </c>
      <c r="H30" s="425">
        <v>8</v>
      </c>
      <c r="I30" s="285" t="s">
        <v>1156</v>
      </c>
      <c r="J30" s="231" t="s">
        <v>46</v>
      </c>
      <c r="K30" s="424" t="s">
        <v>47</v>
      </c>
      <c r="L30" s="424" t="s">
        <v>1162</v>
      </c>
    </row>
    <row r="31" spans="1:12" ht="58" x14ac:dyDescent="0.35">
      <c r="A31" s="30"/>
      <c r="B31" s="30"/>
      <c r="C31" s="30"/>
      <c r="D31" s="30"/>
      <c r="E31" s="30"/>
      <c r="F31" s="423">
        <v>44627</v>
      </c>
      <c r="G31" s="231" t="s">
        <v>44</v>
      </c>
      <c r="H31" s="425">
        <v>8</v>
      </c>
      <c r="I31" s="285" t="s">
        <v>1156</v>
      </c>
      <c r="J31" s="231" t="s">
        <v>46</v>
      </c>
      <c r="K31" s="424" t="s">
        <v>47</v>
      </c>
      <c r="L31" s="424" t="s">
        <v>1164</v>
      </c>
    </row>
    <row r="32" spans="1:12" ht="43.5" x14ac:dyDescent="0.35">
      <c r="A32" s="30"/>
      <c r="B32" s="30"/>
      <c r="C32" s="30"/>
      <c r="D32" s="30"/>
      <c r="E32" s="30"/>
      <c r="F32" s="423">
        <v>44861</v>
      </c>
      <c r="G32" s="231" t="s">
        <v>821</v>
      </c>
      <c r="H32" s="425">
        <v>9</v>
      </c>
      <c r="I32" s="285" t="s">
        <v>1165</v>
      </c>
      <c r="J32" s="231" t="s">
        <v>46</v>
      </c>
      <c r="K32" s="424" t="s">
        <v>47</v>
      </c>
      <c r="L32" s="424" t="s">
        <v>1166</v>
      </c>
    </row>
    <row r="33" spans="1:12" x14ac:dyDescent="0.35">
      <c r="A33" s="30"/>
      <c r="B33" s="30"/>
      <c r="C33" s="30"/>
      <c r="D33" s="30"/>
      <c r="E33" s="30"/>
      <c r="F33" s="234"/>
      <c r="G33" s="231"/>
      <c r="H33" s="231"/>
      <c r="I33" s="231"/>
      <c r="J33" s="231"/>
      <c r="K33" s="231"/>
      <c r="L33" s="231"/>
    </row>
    <row r="35" spans="1:12" x14ac:dyDescent="0.35">
      <c r="B35" s="31" t="s">
        <v>51</v>
      </c>
      <c r="C35" s="31"/>
      <c r="D35" s="31"/>
      <c r="E35" s="31"/>
      <c r="F35" s="31"/>
      <c r="G35" s="32"/>
      <c r="H35" s="32"/>
      <c r="I35" s="32"/>
      <c r="J35" s="32"/>
      <c r="K35" s="32"/>
      <c r="L35" s="31"/>
    </row>
    <row r="37" spans="1:12" x14ac:dyDescent="0.35">
      <c r="E37" s="27" t="s">
        <v>52</v>
      </c>
      <c r="F37" s="39"/>
      <c r="G37" s="40"/>
      <c r="H37" s="40"/>
      <c r="I37" s="40"/>
      <c r="J37" s="40"/>
    </row>
    <row r="38" spans="1:12" x14ac:dyDescent="0.35">
      <c r="F38" s="6" t="s">
        <v>53</v>
      </c>
      <c r="H38" s="233" t="s">
        <v>54</v>
      </c>
      <c r="I38" s="6" t="s">
        <v>55</v>
      </c>
      <c r="J38" s="41">
        <f>'Fixed inputs'!H197</f>
        <v>0</v>
      </c>
    </row>
    <row r="39" spans="1:12" x14ac:dyDescent="0.35">
      <c r="F39" s="6" t="s">
        <v>56</v>
      </c>
      <c r="H39" s="233" t="s">
        <v>57</v>
      </c>
      <c r="I39" s="6" t="s">
        <v>55</v>
      </c>
      <c r="J39" s="41">
        <f>'Inputs by customer type'!H236</f>
        <v>0</v>
      </c>
    </row>
    <row r="40" spans="1:12" x14ac:dyDescent="0.35">
      <c r="F40" s="6" t="s">
        <v>58</v>
      </c>
      <c r="H40" s="233" t="s">
        <v>59</v>
      </c>
      <c r="I40" s="6" t="s">
        <v>55</v>
      </c>
      <c r="J40" s="42">
        <f>'Inputs by network level'!H56</f>
        <v>0</v>
      </c>
    </row>
    <row r="41" spans="1:12" x14ac:dyDescent="0.35">
      <c r="F41" s="6" t="s">
        <v>60</v>
      </c>
      <c r="H41" s="233" t="s">
        <v>61</v>
      </c>
      <c r="I41" s="6" t="s">
        <v>55</v>
      </c>
      <c r="J41" s="41">
        <f>'General inputs'!H115</f>
        <v>0</v>
      </c>
    </row>
    <row r="42" spans="1:12" x14ac:dyDescent="0.35">
      <c r="F42" s="6" t="s">
        <v>62</v>
      </c>
      <c r="H42" s="233" t="s">
        <v>63</v>
      </c>
      <c r="I42" s="6" t="s">
        <v>55</v>
      </c>
      <c r="J42" s="42">
        <f>'Standing charge factors'!H58</f>
        <v>0</v>
      </c>
    </row>
    <row r="43" spans="1:12" x14ac:dyDescent="0.35">
      <c r="F43" s="6" t="s">
        <v>64</v>
      </c>
      <c r="H43" s="233" t="s">
        <v>65</v>
      </c>
      <c r="I43" s="6" t="s">
        <v>55</v>
      </c>
      <c r="J43" s="42">
        <f>'Load &amp; loss characteristics'!H183</f>
        <v>0</v>
      </c>
    </row>
    <row r="44" spans="1:12" x14ac:dyDescent="0.35">
      <c r="F44" s="6" t="s">
        <v>66</v>
      </c>
      <c r="H44" s="233" t="s">
        <v>67</v>
      </c>
      <c r="I44" s="6" t="s">
        <v>55</v>
      </c>
      <c r="J44" s="42">
        <f>'Customer contributions'!H70</f>
        <v>0</v>
      </c>
    </row>
    <row r="45" spans="1:12" x14ac:dyDescent="0.35">
      <c r="F45" s="6" t="s">
        <v>68</v>
      </c>
      <c r="H45" s="233" t="s">
        <v>69</v>
      </c>
      <c r="I45" s="6" t="s">
        <v>55</v>
      </c>
      <c r="J45" s="42">
        <f>'Volume adjustments'!H693</f>
        <v>0</v>
      </c>
    </row>
    <row r="46" spans="1:12" x14ac:dyDescent="0.35">
      <c r="F46" s="6" t="s">
        <v>70</v>
      </c>
      <c r="H46" s="233" t="s">
        <v>71</v>
      </c>
      <c r="I46" s="6" t="s">
        <v>55</v>
      </c>
      <c r="J46" s="42">
        <f>'Pseudo-load coefficients'!H306</f>
        <v>0</v>
      </c>
    </row>
    <row r="47" spans="1:12" x14ac:dyDescent="0.35">
      <c r="F47" s="6" t="s">
        <v>72</v>
      </c>
      <c r="H47" s="233" t="s">
        <v>73</v>
      </c>
      <c r="I47" s="6" t="s">
        <v>55</v>
      </c>
      <c r="J47" s="42">
        <f>'System peak demand'!H281</f>
        <v>0</v>
      </c>
    </row>
    <row r="48" spans="1:12" x14ac:dyDescent="0.35">
      <c r="F48" s="6" t="s">
        <v>74</v>
      </c>
      <c r="H48" s="233" t="s">
        <v>75</v>
      </c>
      <c r="I48" s="6" t="s">
        <v>55</v>
      </c>
      <c r="J48" s="42">
        <f>'Service model assets'!H38</f>
        <v>0</v>
      </c>
    </row>
    <row r="49" spans="2:12" x14ac:dyDescent="0.35">
      <c r="F49" s="6" t="s">
        <v>76</v>
      </c>
      <c r="H49" s="233" t="s">
        <v>77</v>
      </c>
      <c r="I49" s="6" t="s">
        <v>55</v>
      </c>
      <c r="J49" s="42">
        <f>'Unit costs'!H131</f>
        <v>0</v>
      </c>
    </row>
    <row r="50" spans="2:12" x14ac:dyDescent="0.35">
      <c r="F50" s="6" t="s">
        <v>78</v>
      </c>
      <c r="H50" s="233" t="s">
        <v>79</v>
      </c>
      <c r="I50" s="6" t="s">
        <v>55</v>
      </c>
      <c r="J50" s="42">
        <f>'Initial unit rates'!H241</f>
        <v>0</v>
      </c>
    </row>
    <row r="51" spans="2:12" x14ac:dyDescent="0.35">
      <c r="F51" s="6" t="s">
        <v>80</v>
      </c>
      <c r="H51" s="233" t="s">
        <v>81</v>
      </c>
      <c r="I51" s="6" t="s">
        <v>55</v>
      </c>
      <c r="J51" s="42">
        <f>'Service model charges'!H48</f>
        <v>0</v>
      </c>
    </row>
    <row r="52" spans="2:12" x14ac:dyDescent="0.35">
      <c r="F52" s="6" t="s">
        <v>82</v>
      </c>
      <c r="H52" s="233" t="s">
        <v>83</v>
      </c>
      <c r="I52" s="6" t="s">
        <v>55</v>
      </c>
      <c r="J52" s="42">
        <f>'Unit rate charges'!H223</f>
        <v>0</v>
      </c>
    </row>
    <row r="53" spans="2:12" x14ac:dyDescent="0.35">
      <c r="F53" s="6" t="s">
        <v>86</v>
      </c>
      <c r="H53" s="233" t="s">
        <v>85</v>
      </c>
      <c r="I53" s="6" t="s">
        <v>55</v>
      </c>
      <c r="J53" s="42">
        <f>'Capacity charges'!H295</f>
        <v>0</v>
      </c>
    </row>
    <row r="54" spans="2:12" x14ac:dyDescent="0.35">
      <c r="F54" s="6" t="s">
        <v>84</v>
      </c>
      <c r="H54" s="233" t="s">
        <v>87</v>
      </c>
      <c r="I54" s="6" t="s">
        <v>55</v>
      </c>
      <c r="J54" s="42">
        <f>'Reactive power charges'!H254</f>
        <v>0</v>
      </c>
    </row>
    <row r="55" spans="2:12" x14ac:dyDescent="0.35">
      <c r="F55" s="6" t="s">
        <v>88</v>
      </c>
      <c r="H55" s="233" t="s">
        <v>89</v>
      </c>
      <c r="I55" s="6" t="s">
        <v>55</v>
      </c>
      <c r="J55" s="42">
        <f>'Fixed charges'!H165</f>
        <v>0</v>
      </c>
    </row>
    <row r="56" spans="2:12" x14ac:dyDescent="0.35">
      <c r="F56" s="6" t="s">
        <v>1150</v>
      </c>
      <c r="H56" s="233" t="s">
        <v>91</v>
      </c>
      <c r="I56" s="6" t="s">
        <v>55</v>
      </c>
      <c r="J56" s="42">
        <f>'SoLR &amp; bad debt adders'!H71</f>
        <v>0</v>
      </c>
    </row>
    <row r="57" spans="2:12" x14ac:dyDescent="0.35">
      <c r="F57" s="6" t="s">
        <v>90</v>
      </c>
      <c r="H57" s="233" t="s">
        <v>93</v>
      </c>
      <c r="I57" s="6" t="s">
        <v>55</v>
      </c>
      <c r="J57" s="42">
        <f>'Revenue matching'!H433</f>
        <v>0</v>
      </c>
    </row>
    <row r="58" spans="2:12" x14ac:dyDescent="0.35">
      <c r="F58" s="6" t="s">
        <v>92</v>
      </c>
      <c r="H58" s="233" t="s">
        <v>95</v>
      </c>
      <c r="I58" s="6" t="s">
        <v>55</v>
      </c>
      <c r="J58" s="42">
        <f>Rounding!H178</f>
        <v>0</v>
      </c>
    </row>
    <row r="59" spans="2:12" x14ac:dyDescent="0.35">
      <c r="F59" s="6" t="s">
        <v>94</v>
      </c>
      <c r="H59" s="233" t="s">
        <v>884</v>
      </c>
      <c r="I59" s="6" t="s">
        <v>55</v>
      </c>
      <c r="J59" s="41">
        <f>'Net revenue summary'!$H$211</f>
        <v>0</v>
      </c>
    </row>
    <row r="60" spans="2:12" x14ac:dyDescent="0.35">
      <c r="F60" s="6" t="s">
        <v>96</v>
      </c>
      <c r="H60" s="233" t="s">
        <v>97</v>
      </c>
      <c r="I60" s="6" t="s">
        <v>55</v>
      </c>
      <c r="J60" s="42">
        <f>'Tariff summary'!$H$119</f>
        <v>0</v>
      </c>
    </row>
    <row r="61" spans="2:12" x14ac:dyDescent="0.35">
      <c r="F61" s="6" t="s">
        <v>98</v>
      </c>
      <c r="H61" s="233" t="s">
        <v>99</v>
      </c>
      <c r="I61" s="6" t="s">
        <v>55</v>
      </c>
      <c r="J61" s="41">
        <f>'Output to other models'!H84</f>
        <v>0</v>
      </c>
    </row>
    <row r="62" spans="2:12" x14ac:dyDescent="0.35">
      <c r="F62" s="43" t="s">
        <v>100</v>
      </c>
      <c r="G62" s="43"/>
      <c r="H62" s="43"/>
      <c r="I62" s="43" t="s">
        <v>55</v>
      </c>
      <c r="J62" s="406">
        <f>IFERROR(SUM(J38:J61), 1)</f>
        <v>0</v>
      </c>
    </row>
    <row r="64" spans="2:12" x14ac:dyDescent="0.35">
      <c r="B64" s="31" t="s">
        <v>101</v>
      </c>
      <c r="C64" s="31"/>
      <c r="D64" s="31"/>
      <c r="E64" s="31"/>
      <c r="F64" s="31"/>
      <c r="G64" s="32"/>
      <c r="H64" s="32"/>
      <c r="I64" s="32"/>
      <c r="J64" s="32"/>
      <c r="K64" s="32"/>
      <c r="L64" s="31"/>
    </row>
    <row r="66" spans="2:12" x14ac:dyDescent="0.35">
      <c r="F66" s="38" t="s">
        <v>102</v>
      </c>
    </row>
    <row r="67" spans="2:12" x14ac:dyDescent="0.35">
      <c r="F67" s="233" t="s">
        <v>103</v>
      </c>
    </row>
    <row r="68" spans="2:12" x14ac:dyDescent="0.35">
      <c r="F68" s="233" t="s">
        <v>104</v>
      </c>
    </row>
    <row r="69" spans="2:12" x14ac:dyDescent="0.35">
      <c r="F69" s="233" t="s">
        <v>44</v>
      </c>
    </row>
    <row r="70" spans="2:12" ht="29" x14ac:dyDescent="0.35">
      <c r="F70" s="286" t="s">
        <v>821</v>
      </c>
    </row>
    <row r="71" spans="2:12" x14ac:dyDescent="0.35">
      <c r="F71" s="233"/>
    </row>
    <row r="72" spans="2:12" x14ac:dyDescent="0.35">
      <c r="F72" s="233"/>
    </row>
    <row r="73" spans="2:12" x14ac:dyDescent="0.35">
      <c r="F73" s="233"/>
    </row>
    <row r="74" spans="2:12" x14ac:dyDescent="0.35">
      <c r="F74" s="233"/>
    </row>
    <row r="75" spans="2:12" x14ac:dyDescent="0.35">
      <c r="F75" s="233"/>
    </row>
    <row r="76" spans="2:12" x14ac:dyDescent="0.35">
      <c r="F76" s="233"/>
    </row>
    <row r="77" spans="2:12" x14ac:dyDescent="0.35">
      <c r="F77" s="233" t="s">
        <v>105</v>
      </c>
    </row>
    <row r="79" spans="2:12" x14ac:dyDescent="0.35">
      <c r="B79" s="31" t="s">
        <v>106</v>
      </c>
      <c r="C79" s="31"/>
      <c r="D79" s="31"/>
      <c r="E79" s="31"/>
      <c r="F79" s="31"/>
      <c r="G79" s="32"/>
      <c r="H79" s="32"/>
      <c r="I79" s="32"/>
      <c r="J79" s="32"/>
      <c r="K79" s="32"/>
      <c r="L79" s="31"/>
    </row>
  </sheetData>
  <sheetProtection sheet="1" formatCells="0" formatColumns="0" formatRows="0" sort="0" autoFilter="0"/>
  <dataConsolidate/>
  <phoneticPr fontId="39" type="noConversion"/>
  <conditionalFormatting sqref="J38:J62">
    <cfRule type="cellIs" dxfId="228" priority="2" operator="greaterThan">
      <formula>0</formula>
    </cfRule>
  </conditionalFormatting>
  <conditionalFormatting sqref="A4:XFD4">
    <cfRule type="expression" dxfId="227" priority="1">
      <formula>LEFT($A$4,1) &lt;&gt; "0"</formula>
    </cfRule>
  </conditionalFormatting>
  <dataValidations count="5">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3" xr:uid="{00000000-0002-0000-0100-000000000000}">
      <formula1>0</formula1>
    </dataValidation>
    <dataValidation type="date" operator="greaterThan" allowBlank="1" showInputMessage="1" showErrorMessage="1" promptTitle="Model date" prompt="Input a date" sqref="F20:F28 F33" xr:uid="{00000000-0002-0000-0100-000002000000}">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33" xr:uid="{00000000-0002-0000-0100-000001000000}">
      <formula1>$F$67:$F$77</formula1>
    </dataValidation>
    <dataValidation allowBlank="1" showErrorMessage="1" errorTitle="Author" error="Initials must be selected from the list specified below" promptTitle="Author" prompt="Select author initials from the list specified below" sqref="K29:K32" xr:uid="{6E53A1E3-FD3E-48CD-A19E-9BD39A3F24C1}"/>
    <dataValidation type="date" operator="greaterThanOrEqual" allowBlank="1" showInputMessage="1" showErrorMessage="1" promptTitle="Model date" prompt="Input a date" sqref="F29:F32" xr:uid="{D86E3B62-A050-4C19-A21C-6CC59C3ABEC3}">
      <formula1>1</formula1>
    </dataValidation>
  </dataValidations>
  <hyperlinks>
    <hyperlink ref="I67" location="'Cover'!A1" display="Cover" xr:uid="{00000000-0004-0000-0100-000000000000}"/>
    <hyperlink ref="I68" location="'Version control'!A1" display="Version control" xr:uid="{00000000-0004-0000-0100-000001000000}"/>
    <hyperlink ref="I77" location="'Model map'!A1" display="Model map" xr:uid="{00000000-0004-0000-0100-000002000000}"/>
    <hyperlink ref="I78" location="'Inputs &gt;&gt;'!A1" display="Inputs &gt;&gt;" xr:uid="{00000000-0004-0000-0100-000003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9" width="24.54296875" hidden="1" customWidth="1"/>
    <col min="30" max="30" width="3.54296875" hidden="1" customWidth="1"/>
    <col min="31" max="31" width="15.453125" hidden="1" customWidth="1"/>
    <col min="32" max="315" width="24.54296875" hidden="1" customWidth="1"/>
    <col min="316" max="16384" width="8.54296875" hidden="1"/>
  </cols>
  <sheetData>
    <row r="1" spans="1:27" s="1" customFormat="1" x14ac:dyDescent="0.35">
      <c r="A1" s="1" t="str">
        <f ca="1">MID(CELL("filename",A1),FIND("]",CELL("filename",A1))+1,255)</f>
        <v>Unit rate charges</v>
      </c>
    </row>
    <row r="2" spans="1:27" s="1" customFormat="1" x14ac:dyDescent="0.35">
      <c r="A2" s="1" t="str">
        <f>Cover!D21&amp;" - "&amp;Cover!D23</f>
        <v>Southern Electric Power Distribution - Final</v>
      </c>
    </row>
    <row r="3" spans="1:27" s="5" customFormat="1" x14ac:dyDescent="0.35">
      <c r="A3" s="5" t="str">
        <f>Cover!D2&amp;" - "&amp;Cover!D8&amp;" v"&amp;Cover!D10&amp;" - "&amp;Cover!D19</f>
        <v>CDCM charging model - Release for charge setting v9 - 2024/25</v>
      </c>
    </row>
    <row r="4" spans="1:27" x14ac:dyDescent="0.35">
      <c r="A4" s="11" t="str">
        <f>H223 &amp; IF(H223 = 1, " issue", " issues") &amp;" identified in checks on this sheet"</f>
        <v>0 issues identified in checks on this sheet</v>
      </c>
      <c r="B4" s="12"/>
      <c r="C4" s="12"/>
      <c r="D4" s="12"/>
      <c r="E4" s="12"/>
      <c r="F4" s="12"/>
      <c r="G4" s="12"/>
      <c r="H4" s="13"/>
      <c r="I4" s="13"/>
    </row>
    <row r="5" spans="1:27" ht="43.5" x14ac:dyDescent="0.3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3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35">
      <c r="C9" s="24" t="s">
        <v>646</v>
      </c>
      <c r="D9"/>
    </row>
    <row r="10" spans="1:27" x14ac:dyDescent="0.35">
      <c r="C10" s="24" t="s">
        <v>647</v>
      </c>
      <c r="D10"/>
      <c r="E10"/>
    </row>
    <row r="11" spans="1:27" x14ac:dyDescent="0.35">
      <c r="C11" s="24" t="s">
        <v>648</v>
      </c>
      <c r="D11"/>
      <c r="E11"/>
    </row>
    <row r="12" spans="1:27" x14ac:dyDescent="0.35">
      <c r="C12" s="24" t="s">
        <v>649</v>
      </c>
    </row>
    <row r="13" spans="1:27" x14ac:dyDescent="0.35">
      <c r="C13" s="24" t="s">
        <v>650</v>
      </c>
      <c r="D13"/>
    </row>
    <row r="15" spans="1:27" x14ac:dyDescent="0.35">
      <c r="B15" s="25" t="s">
        <v>651</v>
      </c>
      <c r="C15" s="25"/>
      <c r="D15" s="25"/>
      <c r="E15" s="25"/>
      <c r="F15" s="25"/>
      <c r="G15" s="25"/>
      <c r="H15" s="25"/>
      <c r="I15" s="25"/>
      <c r="J15" s="25"/>
      <c r="K15" s="25"/>
      <c r="L15" s="25"/>
      <c r="M15" s="25"/>
      <c r="N15" s="25"/>
      <c r="O15" s="25"/>
      <c r="P15" s="25"/>
      <c r="Q15" s="25"/>
      <c r="R15" s="25"/>
      <c r="S15" s="25"/>
      <c r="T15" s="25"/>
      <c r="U15" s="25"/>
      <c r="V15" s="25"/>
      <c r="W15" s="25"/>
      <c r="X15" s="25"/>
      <c r="Y15" s="25"/>
      <c r="Z15" s="25"/>
      <c r="AA15" s="25"/>
    </row>
    <row r="17" spans="3:27" x14ac:dyDescent="0.35">
      <c r="C17" s="24" t="s">
        <v>652</v>
      </c>
    </row>
    <row r="19" spans="3:27" x14ac:dyDescent="0.35">
      <c r="C19" s="26" t="str">
        <f ca="1">INDEX('Version control'!$H$38:$H$61,MATCH($A$1,'Version control'!$F$38:$F$61,0),1)&amp;"-A: Initial unit rate 1"</f>
        <v>Section 111-A: Initial unit rate 1</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3:27" x14ac:dyDescent="0.35">
      <c r="C20" s="27"/>
      <c r="D20"/>
      <c r="E20" s="27"/>
    </row>
    <row r="21" spans="3:27" x14ac:dyDescent="0.35">
      <c r="D21"/>
      <c r="E21" s="27" t="s">
        <v>620</v>
      </c>
    </row>
    <row r="22" spans="3:27" x14ac:dyDescent="0.35">
      <c r="D22"/>
      <c r="F22" s="19" t="s">
        <v>189</v>
      </c>
      <c r="G22" s="19" t="s">
        <v>269</v>
      </c>
      <c r="H22" s="255"/>
      <c r="I22" s="255"/>
      <c r="J22" s="267">
        <f>'Initial unit rates'!J152</f>
        <v>0</v>
      </c>
      <c r="K22" s="267">
        <f>'Initial unit rates'!K152</f>
        <v>0</v>
      </c>
      <c r="L22" s="267">
        <f>'Initial unit rates'!L152</f>
        <v>0</v>
      </c>
      <c r="M22" s="267">
        <f>'Initial unit rates'!M152</f>
        <v>0</v>
      </c>
      <c r="N22" s="267">
        <f>'Initial unit rates'!N152</f>
        <v>0</v>
      </c>
      <c r="O22" s="267">
        <f>'Initial unit rates'!O152</f>
        <v>0</v>
      </c>
      <c r="P22" s="267">
        <f>'Initial unit rates'!P152</f>
        <v>0</v>
      </c>
      <c r="Q22" s="267">
        <f>'Initial unit rates'!Q152</f>
        <v>0</v>
      </c>
      <c r="R22" s="267">
        <f>'Initial unit rates'!R152</f>
        <v>0</v>
      </c>
      <c r="S22" s="267">
        <f>'Initial unit rates'!S152</f>
        <v>0</v>
      </c>
      <c r="T22" s="267">
        <f>'Initial unit rates'!T152</f>
        <v>0</v>
      </c>
      <c r="U22" s="267">
        <f>'Initial unit rates'!U152</f>
        <v>0</v>
      </c>
      <c r="V22" s="267">
        <f>'Initial unit rates'!V152</f>
        <v>0</v>
      </c>
      <c r="W22" s="267">
        <f>'Initial unit rates'!W152</f>
        <v>0</v>
      </c>
      <c r="X22" s="267">
        <f>'Initial unit rates'!X152</f>
        <v>0</v>
      </c>
      <c r="Y22" s="267">
        <f>'Initial unit rates'!Y152</f>
        <v>0</v>
      </c>
      <c r="Z22" s="256"/>
      <c r="AA22" s="256"/>
    </row>
    <row r="23" spans="3:27" x14ac:dyDescent="0.35">
      <c r="D23"/>
      <c r="F23" t="s">
        <v>191</v>
      </c>
      <c r="G23" t="s">
        <v>269</v>
      </c>
      <c r="H23" s="256"/>
      <c r="I23" s="256"/>
      <c r="J23" s="268">
        <f>'Initial unit rates'!J153</f>
        <v>0</v>
      </c>
      <c r="K23" s="268">
        <f>'Initial unit rates'!K153</f>
        <v>0</v>
      </c>
      <c r="L23" s="268">
        <f>'Initial unit rates'!L153</f>
        <v>0</v>
      </c>
      <c r="M23" s="268">
        <f>'Initial unit rates'!M153</f>
        <v>0</v>
      </c>
      <c r="N23" s="268">
        <f>'Initial unit rates'!N153</f>
        <v>0</v>
      </c>
      <c r="O23" s="268">
        <f>'Initial unit rates'!O153</f>
        <v>0</v>
      </c>
      <c r="P23" s="268">
        <f>'Initial unit rates'!P153</f>
        <v>0</v>
      </c>
      <c r="Q23" s="268">
        <f>'Initial unit rates'!Q153</f>
        <v>0</v>
      </c>
      <c r="R23" s="268">
        <f>'Initial unit rates'!R153</f>
        <v>0</v>
      </c>
      <c r="S23" s="268">
        <f>'Initial unit rates'!S153</f>
        <v>0</v>
      </c>
      <c r="T23" s="268">
        <f>'Initial unit rates'!T153</f>
        <v>0</v>
      </c>
      <c r="U23" s="268">
        <f>'Initial unit rates'!U153</f>
        <v>0</v>
      </c>
      <c r="V23" s="268">
        <f>'Initial unit rates'!V153</f>
        <v>0</v>
      </c>
      <c r="W23" s="268">
        <f>'Initial unit rates'!W153</f>
        <v>0</v>
      </c>
      <c r="X23" s="268">
        <f>'Initial unit rates'!X153</f>
        <v>0</v>
      </c>
      <c r="Y23" s="268">
        <f>'Initial unit rates'!Y153</f>
        <v>0</v>
      </c>
      <c r="Z23" s="256"/>
      <c r="AA23" s="256"/>
    </row>
    <row r="24" spans="3:27" x14ac:dyDescent="0.35">
      <c r="D24"/>
      <c r="F24" t="s">
        <v>192</v>
      </c>
      <c r="G24" t="s">
        <v>269</v>
      </c>
      <c r="H24" s="256"/>
      <c r="I24" s="256"/>
      <c r="J24" s="268">
        <f>'Initial unit rates'!J154</f>
        <v>1.6368625441913387</v>
      </c>
      <c r="K24" s="268">
        <f>'Initial unit rates'!K154</f>
        <v>1.6368625441913387</v>
      </c>
      <c r="L24" s="268">
        <f>'Initial unit rates'!L154</f>
        <v>1.5311464947972213</v>
      </c>
      <c r="M24" s="268">
        <f>'Initial unit rates'!M154</f>
        <v>1.5311464947972213</v>
      </c>
      <c r="N24" s="268">
        <f>'Initial unit rates'!N154</f>
        <v>1.346858861707372</v>
      </c>
      <c r="O24" s="268">
        <f>'Initial unit rates'!O154</f>
        <v>1.0956719654238198</v>
      </c>
      <c r="P24" s="268">
        <f>'Initial unit rates'!P154</f>
        <v>1.1108929297311056</v>
      </c>
      <c r="Q24" s="268">
        <f>'Initial unit rates'!Q154</f>
        <v>3.6225317431581798</v>
      </c>
      <c r="R24" s="268">
        <f>'Initial unit rates'!R154</f>
        <v>-1.1361641478970488</v>
      </c>
      <c r="S24" s="268">
        <f>'Initial unit rates'!S154</f>
        <v>-1.0871735837216714</v>
      </c>
      <c r="T24" s="268">
        <f>'Initial unit rates'!T154</f>
        <v>-1.1361641478970488</v>
      </c>
      <c r="U24" s="268">
        <f>'Initial unit rates'!U154</f>
        <v>-1.1361641478970488</v>
      </c>
      <c r="V24" s="268">
        <f>'Initial unit rates'!V154</f>
        <v>-1.0871735837216714</v>
      </c>
      <c r="W24" s="268">
        <f>'Initial unit rates'!W154</f>
        <v>-1.0871735837216714</v>
      </c>
      <c r="X24" s="268">
        <f>'Initial unit rates'!X154</f>
        <v>-1.0704959448534577</v>
      </c>
      <c r="Y24" s="268">
        <f>'Initial unit rates'!Y154</f>
        <v>-1.0704959448534577</v>
      </c>
      <c r="Z24" s="256"/>
      <c r="AA24" s="256"/>
    </row>
    <row r="25" spans="3:27" x14ac:dyDescent="0.35">
      <c r="D25"/>
      <c r="F25" t="s">
        <v>193</v>
      </c>
      <c r="G25" t="s">
        <v>269</v>
      </c>
      <c r="H25" s="256"/>
      <c r="I25" s="256"/>
      <c r="J25" s="268">
        <f>'Initial unit rates'!J155</f>
        <v>0.42353468767438551</v>
      </c>
      <c r="K25" s="268">
        <f>'Initial unit rates'!K155</f>
        <v>0.42353468767438551</v>
      </c>
      <c r="L25" s="268">
        <f>'Initial unit rates'!L155</f>
        <v>0.3961808856577187</v>
      </c>
      <c r="M25" s="268">
        <f>'Initial unit rates'!M155</f>
        <v>0.3961808856577187</v>
      </c>
      <c r="N25" s="268">
        <f>'Initial unit rates'!N155</f>
        <v>0.34849685415492609</v>
      </c>
      <c r="O25" s="268">
        <f>'Initial unit rates'!O155</f>
        <v>0.28350278116884603</v>
      </c>
      <c r="P25" s="268">
        <f>'Initial unit rates'!P155</f>
        <v>0.28744117317791607</v>
      </c>
      <c r="Q25" s="268">
        <f>'Initial unit rates'!Q155</f>
        <v>0.93732235237078088</v>
      </c>
      <c r="R25" s="268">
        <f>'Initial unit rates'!R155</f>
        <v>-0.2939800469098896</v>
      </c>
      <c r="S25" s="268">
        <f>'Initial unit rates'!S155</f>
        <v>-0.28130384305230716</v>
      </c>
      <c r="T25" s="268">
        <f>'Initial unit rates'!T155</f>
        <v>-0.2939800469098896</v>
      </c>
      <c r="U25" s="268">
        <f>'Initial unit rates'!U155</f>
        <v>-0.2939800469098896</v>
      </c>
      <c r="V25" s="268">
        <f>'Initial unit rates'!V155</f>
        <v>-0.28130384305230716</v>
      </c>
      <c r="W25" s="268">
        <f>'Initial unit rates'!W155</f>
        <v>-0.28130384305230716</v>
      </c>
      <c r="X25" s="268">
        <f>'Initial unit rates'!X155</f>
        <v>-0.276988539611428</v>
      </c>
      <c r="Y25" s="268">
        <f>'Initial unit rates'!Y155</f>
        <v>-0.276988539611428</v>
      </c>
      <c r="Z25" s="256"/>
      <c r="AA25" s="256"/>
    </row>
    <row r="26" spans="3:27" x14ac:dyDescent="0.35">
      <c r="D26"/>
      <c r="F26" t="s">
        <v>194</v>
      </c>
      <c r="G26" t="s">
        <v>269</v>
      </c>
      <c r="H26" s="256"/>
      <c r="I26" s="256"/>
      <c r="J26" s="268">
        <f>'Initial unit rates'!J156</f>
        <v>0.96103882419068432</v>
      </c>
      <c r="K26" s="268">
        <f>'Initial unit rates'!K156</f>
        <v>0.96103882419068432</v>
      </c>
      <c r="L26" s="268">
        <f>'Initial unit rates'!L156</f>
        <v>0.89897055329748043</v>
      </c>
      <c r="M26" s="268">
        <f>'Initial unit rates'!M156</f>
        <v>0.89897055329748043</v>
      </c>
      <c r="N26" s="268">
        <f>'Initial unit rates'!N156</f>
        <v>0.79077113799162801</v>
      </c>
      <c r="O26" s="268">
        <f>'Initial unit rates'!O156</f>
        <v>0.64329366023205714</v>
      </c>
      <c r="P26" s="268">
        <f>'Initial unit rates'!P156</f>
        <v>0.63759555562911008</v>
      </c>
      <c r="Q26" s="268">
        <f>'Initial unit rates'!Q156</f>
        <v>2.1228598598850503</v>
      </c>
      <c r="R26" s="268">
        <f>'Initial unit rates'!R156</f>
        <v>-0.66706753151470177</v>
      </c>
      <c r="S26" s="268">
        <f>'Initial unit rates'!S156</f>
        <v>-0.6383040691466364</v>
      </c>
      <c r="T26" s="268">
        <f>'Initial unit rates'!T156</f>
        <v>-0.66706753151470177</v>
      </c>
      <c r="U26" s="268">
        <f>'Initial unit rates'!U156</f>
        <v>-0.66706753151470177</v>
      </c>
      <c r="V26" s="268">
        <f>'Initial unit rates'!V156</f>
        <v>-0.6383040691466364</v>
      </c>
      <c r="W26" s="268">
        <f>'Initial unit rates'!W156</f>
        <v>-0.6383040691466364</v>
      </c>
      <c r="X26" s="268">
        <f>'Initial unit rates'!X156</f>
        <v>-0.61440975857390767</v>
      </c>
      <c r="Y26" s="268">
        <f>'Initial unit rates'!Y156</f>
        <v>-0.61440975857390767</v>
      </c>
      <c r="Z26" s="256"/>
      <c r="AA26" s="256"/>
    </row>
    <row r="27" spans="3:27" x14ac:dyDescent="0.35">
      <c r="D27"/>
      <c r="F27" t="s">
        <v>195</v>
      </c>
      <c r="G27" t="s">
        <v>269</v>
      </c>
      <c r="H27" s="256"/>
      <c r="I27" s="256"/>
      <c r="J27" s="268">
        <f>'Initial unit rates'!J157</f>
        <v>0.67164509868348765</v>
      </c>
      <c r="K27" s="268">
        <f>'Initial unit rates'!K157</f>
        <v>0.67164509868348765</v>
      </c>
      <c r="L27" s="268">
        <f>'Initial unit rates'!L157</f>
        <v>0.62826719460735858</v>
      </c>
      <c r="M27" s="268">
        <f>'Initial unit rates'!M157</f>
        <v>0.62826719460735858</v>
      </c>
      <c r="N27" s="268">
        <f>'Initial unit rates'!N157</f>
        <v>0.55264943064054539</v>
      </c>
      <c r="O27" s="268">
        <f>'Initial unit rates'!O157</f>
        <v>0.44958124795101295</v>
      </c>
      <c r="P27" s="268">
        <f>'Initial unit rates'!P157</f>
        <v>0.43621253085364914</v>
      </c>
      <c r="Q27" s="268">
        <f>'Initial unit rates'!Q157</f>
        <v>1.4836116754017923</v>
      </c>
      <c r="R27" s="268">
        <f>'Initial unit rates'!R157</f>
        <v>-0.46619618974295052</v>
      </c>
      <c r="S27" s="268">
        <f>'Initial unit rates'!S157</f>
        <v>-0.44609415220357551</v>
      </c>
      <c r="T27" s="268">
        <f>'Initial unit rates'!T157</f>
        <v>-0.46619618974295052</v>
      </c>
      <c r="U27" s="268">
        <f>'Initial unit rates'!U157</f>
        <v>-0.46619618974295052</v>
      </c>
      <c r="V27" s="268">
        <f>'Initial unit rates'!V157</f>
        <v>-0.44609415220357551</v>
      </c>
      <c r="W27" s="268">
        <f>'Initial unit rates'!W157</f>
        <v>-0.44609415220357551</v>
      </c>
      <c r="X27" s="268">
        <f>'Initial unit rates'!X157</f>
        <v>-0.4203499121073036</v>
      </c>
      <c r="Y27" s="268">
        <f>'Initial unit rates'!Y157</f>
        <v>-0.4203499121073036</v>
      </c>
      <c r="Z27" s="256"/>
      <c r="AA27" s="256"/>
    </row>
    <row r="28" spans="3:27" x14ac:dyDescent="0.35">
      <c r="D28"/>
      <c r="F28" t="s">
        <v>196</v>
      </c>
      <c r="G28" t="s">
        <v>269</v>
      </c>
      <c r="H28" s="256"/>
      <c r="I28" s="256"/>
      <c r="J28" s="268">
        <f>'Initial unit rates'!J158</f>
        <v>0</v>
      </c>
      <c r="K28" s="268">
        <f>'Initial unit rates'!K158</f>
        <v>0</v>
      </c>
      <c r="L28" s="268">
        <f>'Initial unit rates'!L158</f>
        <v>0</v>
      </c>
      <c r="M28" s="268">
        <f>'Initial unit rates'!M158</f>
        <v>0</v>
      </c>
      <c r="N28" s="268">
        <f>'Initial unit rates'!N158</f>
        <v>0</v>
      </c>
      <c r="O28" s="268">
        <f>'Initial unit rates'!O158</f>
        <v>0</v>
      </c>
      <c r="P28" s="268">
        <f>'Initial unit rates'!P158</f>
        <v>0</v>
      </c>
      <c r="Q28" s="268">
        <f>'Initial unit rates'!Q158</f>
        <v>0</v>
      </c>
      <c r="R28" s="268">
        <f>'Initial unit rates'!R158</f>
        <v>0</v>
      </c>
      <c r="S28" s="268">
        <f>'Initial unit rates'!S158</f>
        <v>0</v>
      </c>
      <c r="T28" s="268">
        <f>'Initial unit rates'!T158</f>
        <v>0</v>
      </c>
      <c r="U28" s="268">
        <f>'Initial unit rates'!U158</f>
        <v>0</v>
      </c>
      <c r="V28" s="268">
        <f>'Initial unit rates'!V158</f>
        <v>0</v>
      </c>
      <c r="W28" s="268">
        <f>'Initial unit rates'!W158</f>
        <v>0</v>
      </c>
      <c r="X28" s="268">
        <f>'Initial unit rates'!X158</f>
        <v>0</v>
      </c>
      <c r="Y28" s="268">
        <f>'Initial unit rates'!Y158</f>
        <v>0</v>
      </c>
      <c r="Z28" s="256"/>
      <c r="AA28" s="256"/>
    </row>
    <row r="29" spans="3:27" x14ac:dyDescent="0.35">
      <c r="D29"/>
      <c r="F29" t="s">
        <v>197</v>
      </c>
      <c r="G29" t="s">
        <v>269</v>
      </c>
      <c r="H29" s="256"/>
      <c r="I29" s="256"/>
      <c r="J29" s="268">
        <f>'Initial unit rates'!J159</f>
        <v>0.92141855032474895</v>
      </c>
      <c r="K29" s="268">
        <f>'Initial unit rates'!K159</f>
        <v>0.92141855032474895</v>
      </c>
      <c r="L29" s="268">
        <f>'Initial unit rates'!L159</f>
        <v>0.86190913743943542</v>
      </c>
      <c r="M29" s="268">
        <f>'Initial unit rates'!M159</f>
        <v>0.86190913743943542</v>
      </c>
      <c r="N29" s="268">
        <f>'Initial unit rates'!N159</f>
        <v>0.75817040609207142</v>
      </c>
      <c r="O29" s="268">
        <f>'Initial unit rates'!O159</f>
        <v>0.61677290960985665</v>
      </c>
      <c r="P29" s="268">
        <f>'Initial unit rates'!P159</f>
        <v>0.58776215877047</v>
      </c>
      <c r="Q29" s="268">
        <f>'Initial unit rates'!Q159</f>
        <v>1.9487150005946101</v>
      </c>
      <c r="R29" s="268">
        <f>'Initial unit rates'!R159</f>
        <v>-0.63956666722033473</v>
      </c>
      <c r="S29" s="268">
        <f>'Initial unit rates'!S159</f>
        <v>-0.61198902193652205</v>
      </c>
      <c r="T29" s="268">
        <f>'Initial unit rates'!T159</f>
        <v>-0.63956666722033473</v>
      </c>
      <c r="U29" s="268">
        <f>'Initial unit rates'!U159</f>
        <v>-0.63956666722033473</v>
      </c>
      <c r="V29" s="268">
        <f>'Initial unit rates'!V159</f>
        <v>-0.61198902193652205</v>
      </c>
      <c r="W29" s="268">
        <f>'Initial unit rates'!W159</f>
        <v>-0.61198902193652205</v>
      </c>
      <c r="X29" s="268">
        <f>'Initial unit rates'!X159</f>
        <v>0</v>
      </c>
      <c r="Y29" s="268">
        <f>'Initial unit rates'!Y159</f>
        <v>0</v>
      </c>
      <c r="Z29" s="256"/>
      <c r="AA29" s="256"/>
    </row>
    <row r="30" spans="3:27" x14ac:dyDescent="0.35">
      <c r="D30"/>
      <c r="F30" t="s">
        <v>198</v>
      </c>
      <c r="G30" t="s">
        <v>269</v>
      </c>
      <c r="H30" s="256"/>
      <c r="I30" s="256"/>
      <c r="J30" s="268">
        <f>'Initial unit rates'!J160</f>
        <v>0.31085822175282135</v>
      </c>
      <c r="K30" s="268">
        <f>'Initial unit rates'!K160</f>
        <v>0.31085822175282135</v>
      </c>
      <c r="L30" s="268">
        <f>'Initial unit rates'!L160</f>
        <v>0.29078157986129105</v>
      </c>
      <c r="M30" s="268">
        <f>'Initial unit rates'!M160</f>
        <v>0.29078157986129105</v>
      </c>
      <c r="N30" s="268">
        <f>'Initial unit rates'!N160</f>
        <v>0.25578332902059592</v>
      </c>
      <c r="O30" s="268">
        <f>'Initial unit rates'!O160</f>
        <v>0.20808017142596036</v>
      </c>
      <c r="P30" s="268">
        <f>'Initial unit rates'!P160</f>
        <v>0</v>
      </c>
      <c r="Q30" s="268">
        <f>'Initial unit rates'!Q160</f>
        <v>0.65743638390434722</v>
      </c>
      <c r="R30" s="268">
        <f>'Initial unit rates'!R160</f>
        <v>-0.21577008276468998</v>
      </c>
      <c r="S30" s="268">
        <f>'Initial unit rates'!S160</f>
        <v>0</v>
      </c>
      <c r="T30" s="268">
        <f>'Initial unit rates'!T160</f>
        <v>-0.21577008276468998</v>
      </c>
      <c r="U30" s="268">
        <f>'Initial unit rates'!U160</f>
        <v>-0.21577008276468998</v>
      </c>
      <c r="V30" s="268">
        <f>'Initial unit rates'!V160</f>
        <v>0</v>
      </c>
      <c r="W30" s="268">
        <f>'Initial unit rates'!W160</f>
        <v>0</v>
      </c>
      <c r="X30" s="268">
        <f>'Initial unit rates'!X160</f>
        <v>0</v>
      </c>
      <c r="Y30" s="268">
        <f>'Initial unit rates'!Y160</f>
        <v>0</v>
      </c>
      <c r="Z30" s="256"/>
      <c r="AA30" s="256"/>
    </row>
    <row r="31" spans="3:27" x14ac:dyDescent="0.35">
      <c r="D31"/>
      <c r="F31" t="s">
        <v>199</v>
      </c>
      <c r="G31" t="s">
        <v>269</v>
      </c>
      <c r="H31" s="256"/>
      <c r="I31" s="256"/>
      <c r="J31" s="268">
        <f>'Initial unit rates'!J161</f>
        <v>6.1368599057823485E-2</v>
      </c>
      <c r="K31" s="268">
        <f>'Initial unit rates'!K161</f>
        <v>6.1368599057823485E-2</v>
      </c>
      <c r="L31" s="268">
        <f>'Initial unit rates'!L161</f>
        <v>5.7405135007487014E-2</v>
      </c>
      <c r="M31" s="268">
        <f>'Initial unit rates'!M161</f>
        <v>5.7405135007487014E-2</v>
      </c>
      <c r="N31" s="268">
        <f>'Initial unit rates'!N161</f>
        <v>5.049589641165033E-2</v>
      </c>
      <c r="O31" s="268">
        <f>'Initial unit rates'!O161</f>
        <v>0</v>
      </c>
      <c r="P31" s="268">
        <f>'Initial unit rates'!P161</f>
        <v>0</v>
      </c>
      <c r="Q31" s="268">
        <f>'Initial unit rates'!Q161</f>
        <v>0.12978891027026543</v>
      </c>
      <c r="R31" s="268">
        <f>'Initial unit rates'!R161</f>
        <v>0</v>
      </c>
      <c r="S31" s="268">
        <f>'Initial unit rates'!S161</f>
        <v>0</v>
      </c>
      <c r="T31" s="268">
        <f>'Initial unit rates'!T161</f>
        <v>0</v>
      </c>
      <c r="U31" s="268">
        <f>'Initial unit rates'!U161</f>
        <v>0</v>
      </c>
      <c r="V31" s="268">
        <f>'Initial unit rates'!V161</f>
        <v>0</v>
      </c>
      <c r="W31" s="268">
        <f>'Initial unit rates'!W161</f>
        <v>0</v>
      </c>
      <c r="X31" s="268">
        <f>'Initial unit rates'!X161</f>
        <v>0</v>
      </c>
      <c r="Y31" s="268">
        <f>'Initial unit rates'!Y161</f>
        <v>0</v>
      </c>
      <c r="Z31" s="256"/>
      <c r="AA31" s="256"/>
    </row>
    <row r="32" spans="3:27" x14ac:dyDescent="0.35">
      <c r="D32"/>
      <c r="F32" s="19" t="s">
        <v>375</v>
      </c>
      <c r="G32" s="19" t="s">
        <v>269</v>
      </c>
      <c r="H32" s="255"/>
      <c r="I32" s="255"/>
      <c r="J32" s="269"/>
      <c r="K32" s="269"/>
      <c r="L32" s="269"/>
      <c r="M32" s="269"/>
      <c r="N32" s="269"/>
      <c r="O32" s="269"/>
      <c r="P32" s="269"/>
      <c r="Q32" s="269"/>
      <c r="R32" s="269"/>
      <c r="S32" s="269"/>
      <c r="T32" s="269"/>
      <c r="U32" s="269"/>
      <c r="V32" s="269"/>
      <c r="W32" s="269"/>
      <c r="X32" s="269"/>
      <c r="Y32" s="269"/>
      <c r="Z32" s="256"/>
      <c r="AA32" s="256"/>
    </row>
    <row r="33" spans="4:27" x14ac:dyDescent="0.35">
      <c r="D33"/>
      <c r="F33" s="28" t="s">
        <v>376</v>
      </c>
      <c r="G33" s="28" t="s">
        <v>269</v>
      </c>
      <c r="H33" s="258"/>
      <c r="I33" s="258"/>
      <c r="J33" s="259"/>
      <c r="K33" s="259"/>
      <c r="L33" s="259"/>
      <c r="M33" s="259"/>
      <c r="N33" s="259"/>
      <c r="O33" s="259"/>
      <c r="P33" s="259"/>
      <c r="Q33" s="259"/>
      <c r="R33" s="259"/>
      <c r="S33" s="259"/>
      <c r="T33" s="259"/>
      <c r="U33" s="259"/>
      <c r="V33" s="259"/>
      <c r="W33" s="259"/>
      <c r="X33" s="259"/>
      <c r="Y33" s="259"/>
      <c r="Z33" s="256"/>
      <c r="AA33" s="256"/>
    </row>
    <row r="34" spans="4:27" x14ac:dyDescent="0.35">
      <c r="D34"/>
      <c r="J34" s="79"/>
      <c r="K34" s="79"/>
      <c r="L34" s="79"/>
      <c r="M34" s="79"/>
      <c r="N34" s="79"/>
      <c r="O34" s="79"/>
      <c r="P34" s="79"/>
      <c r="Q34" s="79"/>
      <c r="R34" s="79"/>
      <c r="S34" s="79"/>
      <c r="T34" s="79"/>
      <c r="U34" s="79"/>
      <c r="V34" s="79"/>
      <c r="W34" s="79"/>
      <c r="X34" s="79"/>
      <c r="Y34" s="79"/>
    </row>
    <row r="35" spans="4:27" x14ac:dyDescent="0.35">
      <c r="D35"/>
      <c r="E35" s="27" t="s">
        <v>621</v>
      </c>
      <c r="J35" s="79"/>
      <c r="K35" s="79"/>
      <c r="L35" s="79"/>
      <c r="M35" s="79"/>
      <c r="N35" s="79"/>
      <c r="O35" s="79"/>
      <c r="P35" s="79"/>
      <c r="Q35" s="79"/>
      <c r="R35" s="79"/>
      <c r="S35" s="79"/>
      <c r="T35" s="79"/>
      <c r="U35" s="79"/>
      <c r="V35" s="79"/>
      <c r="W35" s="79"/>
      <c r="X35" s="79"/>
      <c r="Y35" s="79"/>
    </row>
    <row r="36" spans="4:27" x14ac:dyDescent="0.35">
      <c r="D36"/>
      <c r="F36" s="19" t="s">
        <v>189</v>
      </c>
      <c r="G36" s="19" t="s">
        <v>269</v>
      </c>
      <c r="H36" s="255"/>
      <c r="I36" s="255"/>
      <c r="J36" s="267">
        <f>'Initial unit rates'!J164</f>
        <v>0.61771612950608523</v>
      </c>
      <c r="K36" s="267">
        <f>'Initial unit rates'!K164</f>
        <v>0.61771612950608523</v>
      </c>
      <c r="L36" s="267">
        <f>'Initial unit rates'!L164</f>
        <v>0.57782120424791716</v>
      </c>
      <c r="M36" s="267">
        <f>'Initial unit rates'!M164</f>
        <v>0.57782120424791716</v>
      </c>
      <c r="N36" s="267">
        <f>'Initial unit rates'!N164</f>
        <v>0.50827508149492917</v>
      </c>
      <c r="O36" s="267">
        <f>'Initial unit rates'!O164</f>
        <v>0.41348263975598182</v>
      </c>
      <c r="P36" s="267">
        <f>'Initial unit rates'!P164</f>
        <v>0.41922669883572083</v>
      </c>
      <c r="Q36" s="267">
        <f>'Initial unit rates'!Q164</f>
        <v>1.1939605038446728</v>
      </c>
      <c r="R36" s="267">
        <f>'Initial unit rates'!R164</f>
        <v>-0.42876350394422941</v>
      </c>
      <c r="S36" s="267">
        <f>'Initial unit rates'!S164</f>
        <v>-0.41027553634296449</v>
      </c>
      <c r="T36" s="267">
        <f>'Initial unit rates'!T164</f>
        <v>-0.42876350394422941</v>
      </c>
      <c r="U36" s="267">
        <f>'Initial unit rates'!U164</f>
        <v>-0.42876350394422941</v>
      </c>
      <c r="V36" s="267">
        <f>'Initial unit rates'!V164</f>
        <v>-0.41027553634296449</v>
      </c>
      <c r="W36" s="267">
        <f>'Initial unit rates'!W164</f>
        <v>-0.41027553634296449</v>
      </c>
      <c r="X36" s="267">
        <f>'Initial unit rates'!X164</f>
        <v>-0.40398176013827852</v>
      </c>
      <c r="Y36" s="267">
        <f>'Initial unit rates'!Y164</f>
        <v>-0.40398176013827852</v>
      </c>
      <c r="Z36" s="256"/>
      <c r="AA36" s="256"/>
    </row>
    <row r="37" spans="4:27" x14ac:dyDescent="0.35">
      <c r="D37"/>
      <c r="F37" t="s">
        <v>191</v>
      </c>
      <c r="G37" t="s">
        <v>269</v>
      </c>
      <c r="H37" s="256"/>
      <c r="I37" s="256"/>
      <c r="J37" s="268">
        <f>'Initial unit rates'!J165</f>
        <v>0</v>
      </c>
      <c r="K37" s="268">
        <f>'Initial unit rates'!K165</f>
        <v>0</v>
      </c>
      <c r="L37" s="268">
        <f>'Initial unit rates'!L165</f>
        <v>0</v>
      </c>
      <c r="M37" s="268">
        <f>'Initial unit rates'!M165</f>
        <v>0</v>
      </c>
      <c r="N37" s="268">
        <f>'Initial unit rates'!N165</f>
        <v>0</v>
      </c>
      <c r="O37" s="268">
        <f>'Initial unit rates'!O165</f>
        <v>0</v>
      </c>
      <c r="P37" s="268">
        <f>'Initial unit rates'!P165</f>
        <v>0</v>
      </c>
      <c r="Q37" s="268">
        <f>'Initial unit rates'!Q165</f>
        <v>0</v>
      </c>
      <c r="R37" s="268">
        <f>'Initial unit rates'!R165</f>
        <v>0</v>
      </c>
      <c r="S37" s="268">
        <f>'Initial unit rates'!S165</f>
        <v>0</v>
      </c>
      <c r="T37" s="268">
        <f>'Initial unit rates'!T165</f>
        <v>0</v>
      </c>
      <c r="U37" s="268">
        <f>'Initial unit rates'!U165</f>
        <v>0</v>
      </c>
      <c r="V37" s="268">
        <f>'Initial unit rates'!V165</f>
        <v>0</v>
      </c>
      <c r="W37" s="268">
        <f>'Initial unit rates'!W165</f>
        <v>0</v>
      </c>
      <c r="X37" s="268">
        <f>'Initial unit rates'!X165</f>
        <v>0</v>
      </c>
      <c r="Y37" s="268">
        <f>'Initial unit rates'!Y165</f>
        <v>0</v>
      </c>
      <c r="Z37" s="256"/>
      <c r="AA37" s="256"/>
    </row>
    <row r="38" spans="4:27" x14ac:dyDescent="0.35">
      <c r="D38"/>
      <c r="F38" t="s">
        <v>192</v>
      </c>
      <c r="G38" t="s">
        <v>269</v>
      </c>
      <c r="H38" s="256"/>
      <c r="I38" s="256"/>
      <c r="J38" s="268">
        <f>'Initial unit rates'!J166</f>
        <v>1.0904197176777213</v>
      </c>
      <c r="K38" s="268">
        <f>'Initial unit rates'!K166</f>
        <v>1.0904197176777213</v>
      </c>
      <c r="L38" s="268">
        <f>'Initial unit rates'!L166</f>
        <v>1.019995438532592</v>
      </c>
      <c r="M38" s="268">
        <f>'Initial unit rates'!M166</f>
        <v>1.019995438532592</v>
      </c>
      <c r="N38" s="268">
        <f>'Initial unit rates'!N166</f>
        <v>0.89722955965141515</v>
      </c>
      <c r="O38" s="268">
        <f>'Initial unit rates'!O166</f>
        <v>0.72989776658068484</v>
      </c>
      <c r="P38" s="268">
        <f>'Initial unit rates'!P166</f>
        <v>0.74003743265199362</v>
      </c>
      <c r="Q38" s="268">
        <f>'Initial unit rates'!Q166</f>
        <v>2.4132020459937817</v>
      </c>
      <c r="R38" s="268">
        <f>'Initial unit rates'!R166</f>
        <v>-0.75687222105598495</v>
      </c>
      <c r="S38" s="268">
        <f>'Initial unit rates'!S166</f>
        <v>-0.72423644638659834</v>
      </c>
      <c r="T38" s="268">
        <f>'Initial unit rates'!T166</f>
        <v>-0.75687222105598495</v>
      </c>
      <c r="U38" s="268">
        <f>'Initial unit rates'!U166</f>
        <v>-0.75687222105598495</v>
      </c>
      <c r="V38" s="268">
        <f>'Initial unit rates'!V166</f>
        <v>-0.72423644638659834</v>
      </c>
      <c r="W38" s="268">
        <f>'Initial unit rates'!W166</f>
        <v>-0.72423644638659834</v>
      </c>
      <c r="X38" s="268">
        <f>'Initial unit rates'!X166</f>
        <v>-0.71312639543531786</v>
      </c>
      <c r="Y38" s="268">
        <f>'Initial unit rates'!Y166</f>
        <v>-0.71312639543531786</v>
      </c>
      <c r="Z38" s="256"/>
      <c r="AA38" s="256"/>
    </row>
    <row r="39" spans="4:27" x14ac:dyDescent="0.35">
      <c r="D39"/>
      <c r="F39" t="s">
        <v>193</v>
      </c>
      <c r="G39" t="s">
        <v>269</v>
      </c>
      <c r="H39" s="256"/>
      <c r="I39" s="256"/>
      <c r="J39" s="268">
        <f>'Initial unit rates'!J167</f>
        <v>0.28214377328108758</v>
      </c>
      <c r="K39" s="268">
        <f>'Initial unit rates'!K167</f>
        <v>0.28214377328108758</v>
      </c>
      <c r="L39" s="268">
        <f>'Initial unit rates'!L167</f>
        <v>0.26392164144828811</v>
      </c>
      <c r="M39" s="268">
        <f>'Initial unit rates'!M167</f>
        <v>0.26392164144828811</v>
      </c>
      <c r="N39" s="268">
        <f>'Initial unit rates'!N167</f>
        <v>0.23215623246295511</v>
      </c>
      <c r="O39" s="268">
        <f>'Initial unit rates'!O167</f>
        <v>0.18885948835472019</v>
      </c>
      <c r="P39" s="268">
        <f>'Initial unit rates'!P167</f>
        <v>0.19148310529670112</v>
      </c>
      <c r="Q39" s="268">
        <f>'Initial unit rates'!Q167</f>
        <v>0.6244108758381427</v>
      </c>
      <c r="R39" s="268">
        <f>'Initial unit rates'!R167</f>
        <v>-0.19583907084435884</v>
      </c>
      <c r="S39" s="268">
        <f>'Initial unit rates'!S167</f>
        <v>-0.18739463384464791</v>
      </c>
      <c r="T39" s="268">
        <f>'Initial unit rates'!T167</f>
        <v>-0.19583907084435884</v>
      </c>
      <c r="U39" s="268">
        <f>'Initial unit rates'!U167</f>
        <v>-0.19583907084435884</v>
      </c>
      <c r="V39" s="268">
        <f>'Initial unit rates'!V167</f>
        <v>-0.18739463384464791</v>
      </c>
      <c r="W39" s="268">
        <f>'Initial unit rates'!W167</f>
        <v>-0.18739463384464791</v>
      </c>
      <c r="X39" s="268">
        <f>'Initial unit rates'!X167</f>
        <v>-0.18451993188729951</v>
      </c>
      <c r="Y39" s="268">
        <f>'Initial unit rates'!Y167</f>
        <v>-0.18451993188729951</v>
      </c>
      <c r="Z39" s="256"/>
      <c r="AA39" s="256"/>
    </row>
    <row r="40" spans="4:27" x14ac:dyDescent="0.35">
      <c r="D40"/>
      <c r="F40" t="s">
        <v>194</v>
      </c>
      <c r="G40" t="s">
        <v>269</v>
      </c>
      <c r="H40" s="256"/>
      <c r="I40" s="256"/>
      <c r="J40" s="268">
        <f>'Initial unit rates'!J168</f>
        <v>0.64822880559298779</v>
      </c>
      <c r="K40" s="268">
        <f>'Initial unit rates'!K168</f>
        <v>0.64822880559298779</v>
      </c>
      <c r="L40" s="268">
        <f>'Initial unit rates'!L168</f>
        <v>0.60636323253436974</v>
      </c>
      <c r="M40" s="268">
        <f>'Initial unit rates'!M168</f>
        <v>0.60636323253436974</v>
      </c>
      <c r="N40" s="268">
        <f>'Initial unit rates'!N168</f>
        <v>0.53338181286213393</v>
      </c>
      <c r="O40" s="268">
        <f>'Initial unit rates'!O168</f>
        <v>0.43390700825113454</v>
      </c>
      <c r="P40" s="268">
        <f>'Initial unit rates'!P168</f>
        <v>0.43993480059564072</v>
      </c>
      <c r="Q40" s="268">
        <f>'Initial unit rates'!Q168</f>
        <v>1.4318869090158064</v>
      </c>
      <c r="R40" s="268">
        <f>'Initial unit rates'!R168</f>
        <v>-0.44994268526849945</v>
      </c>
      <c r="S40" s="268">
        <f>'Initial unit rates'!S168</f>
        <v>-0.4305414869128853</v>
      </c>
      <c r="T40" s="268">
        <f>'Initial unit rates'!T168</f>
        <v>-0.44994268526849945</v>
      </c>
      <c r="U40" s="268">
        <f>'Initial unit rates'!U168</f>
        <v>-0.44994268526849945</v>
      </c>
      <c r="V40" s="268">
        <f>'Initial unit rates'!V168</f>
        <v>-0.4305414869128853</v>
      </c>
      <c r="W40" s="268">
        <f>'Initial unit rates'!W168</f>
        <v>-0.4305414869128853</v>
      </c>
      <c r="X40" s="268">
        <f>'Initial unit rates'!X168</f>
        <v>-0.42393682364288898</v>
      </c>
      <c r="Y40" s="268">
        <f>'Initial unit rates'!Y168</f>
        <v>-0.42393682364288898</v>
      </c>
      <c r="Z40" s="256"/>
      <c r="AA40" s="256"/>
    </row>
    <row r="41" spans="4:27" x14ac:dyDescent="0.35">
      <c r="D41"/>
      <c r="F41" t="s">
        <v>195</v>
      </c>
      <c r="G41" t="s">
        <v>269</v>
      </c>
      <c r="H41" s="256"/>
      <c r="I41" s="256"/>
      <c r="J41" s="268">
        <f>'Initial unit rates'!J169</f>
        <v>0.45861679556187263</v>
      </c>
      <c r="K41" s="268">
        <f>'Initial unit rates'!K169</f>
        <v>0.45861679556187263</v>
      </c>
      <c r="L41" s="268">
        <f>'Initial unit rates'!L169</f>
        <v>0.42899723099633191</v>
      </c>
      <c r="M41" s="268">
        <f>'Initial unit rates'!M169</f>
        <v>0.42899723099633191</v>
      </c>
      <c r="N41" s="268">
        <f>'Initial unit rates'!N169</f>
        <v>0.37736344900940089</v>
      </c>
      <c r="O41" s="268">
        <f>'Initial unit rates'!O169</f>
        <v>0.30698580497967154</v>
      </c>
      <c r="P41" s="268">
        <f>'Initial unit rates'!P169</f>
        <v>0.31125042078430382</v>
      </c>
      <c r="Q41" s="268">
        <f>'Initial unit rates'!Q169</f>
        <v>1.0130487570960354</v>
      </c>
      <c r="R41" s="268">
        <f>'Initial unit rates'!R169</f>
        <v>-0.31833092069331459</v>
      </c>
      <c r="S41" s="268">
        <f>'Initial unit rates'!S169</f>
        <v>-0.30460472503039182</v>
      </c>
      <c r="T41" s="268">
        <f>'Initial unit rates'!T169</f>
        <v>-0.31833092069331459</v>
      </c>
      <c r="U41" s="268">
        <f>'Initial unit rates'!U169</f>
        <v>-0.31833092069331459</v>
      </c>
      <c r="V41" s="268">
        <f>'Initial unit rates'!V169</f>
        <v>-0.30460472503039182</v>
      </c>
      <c r="W41" s="268">
        <f>'Initial unit rates'!W169</f>
        <v>-0.30460472503039182</v>
      </c>
      <c r="X41" s="268">
        <f>'Initial unit rates'!X169</f>
        <v>-0.29993197757067347</v>
      </c>
      <c r="Y41" s="268">
        <f>'Initial unit rates'!Y169</f>
        <v>-0.29993197757067347</v>
      </c>
      <c r="Z41" s="256"/>
      <c r="AA41" s="256"/>
    </row>
    <row r="42" spans="4:27" x14ac:dyDescent="0.35">
      <c r="D42"/>
      <c r="F42" t="s">
        <v>196</v>
      </c>
      <c r="G42" t="s">
        <v>269</v>
      </c>
      <c r="H42" s="256"/>
      <c r="I42" s="256"/>
      <c r="J42" s="268">
        <f>'Initial unit rates'!J170</f>
        <v>0</v>
      </c>
      <c r="K42" s="268">
        <f>'Initial unit rates'!K170</f>
        <v>0</v>
      </c>
      <c r="L42" s="268">
        <f>'Initial unit rates'!L170</f>
        <v>0</v>
      </c>
      <c r="M42" s="268">
        <f>'Initial unit rates'!M170</f>
        <v>0</v>
      </c>
      <c r="N42" s="268">
        <f>'Initial unit rates'!N170</f>
        <v>0</v>
      </c>
      <c r="O42" s="268">
        <f>'Initial unit rates'!O170</f>
        <v>0</v>
      </c>
      <c r="P42" s="268">
        <f>'Initial unit rates'!P170</f>
        <v>0</v>
      </c>
      <c r="Q42" s="268">
        <f>'Initial unit rates'!Q170</f>
        <v>0</v>
      </c>
      <c r="R42" s="268">
        <f>'Initial unit rates'!R170</f>
        <v>0</v>
      </c>
      <c r="S42" s="268">
        <f>'Initial unit rates'!S170</f>
        <v>0</v>
      </c>
      <c r="T42" s="268">
        <f>'Initial unit rates'!T170</f>
        <v>0</v>
      </c>
      <c r="U42" s="268">
        <f>'Initial unit rates'!U170</f>
        <v>0</v>
      </c>
      <c r="V42" s="268">
        <f>'Initial unit rates'!V170</f>
        <v>0</v>
      </c>
      <c r="W42" s="268">
        <f>'Initial unit rates'!W170</f>
        <v>0</v>
      </c>
      <c r="X42" s="268">
        <f>'Initial unit rates'!X170</f>
        <v>0</v>
      </c>
      <c r="Y42" s="268">
        <f>'Initial unit rates'!Y170</f>
        <v>0</v>
      </c>
      <c r="Z42" s="256"/>
      <c r="AA42" s="256"/>
    </row>
    <row r="43" spans="4:27" x14ac:dyDescent="0.35">
      <c r="D43"/>
      <c r="F43" t="s">
        <v>197</v>
      </c>
      <c r="G43" t="s">
        <v>269</v>
      </c>
      <c r="H43" s="256"/>
      <c r="I43" s="256"/>
      <c r="J43" s="268">
        <f>'Initial unit rates'!J171</f>
        <v>0.93540946257990532</v>
      </c>
      <c r="K43" s="268">
        <f>'Initial unit rates'!K171</f>
        <v>0.93540946257990532</v>
      </c>
      <c r="L43" s="268">
        <f>'Initial unit rates'!L171</f>
        <v>0.87499645276381477</v>
      </c>
      <c r="M43" s="268">
        <f>'Initial unit rates'!M171</f>
        <v>0.87499645276381477</v>
      </c>
      <c r="N43" s="268">
        <f>'Initial unit rates'!N171</f>
        <v>0.76968254205064512</v>
      </c>
      <c r="O43" s="268">
        <f>'Initial unit rates'!O171</f>
        <v>0.62613805171239811</v>
      </c>
      <c r="P43" s="268">
        <f>'Initial unit rates'!P171</f>
        <v>0.63483629830197974</v>
      </c>
      <c r="Q43" s="268">
        <f>'Initial unit rates'!Q171</f>
        <v>1.9783044858225955</v>
      </c>
      <c r="R43" s="268">
        <f>'Initial unit rates'!R171</f>
        <v>-0.64927791203871699</v>
      </c>
      <c r="S43" s="268">
        <f>'Initial unit rates'!S171</f>
        <v>-0.62128152500585498</v>
      </c>
      <c r="T43" s="268">
        <f>'Initial unit rates'!T171</f>
        <v>-0.64927791203871699</v>
      </c>
      <c r="U43" s="268">
        <f>'Initial unit rates'!U171</f>
        <v>-0.64927791203871699</v>
      </c>
      <c r="V43" s="268">
        <f>'Initial unit rates'!V171</f>
        <v>-0.62128152500585498</v>
      </c>
      <c r="W43" s="268">
        <f>'Initial unit rates'!W171</f>
        <v>-0.62128152500585498</v>
      </c>
      <c r="X43" s="268">
        <f>'Initial unit rates'!X171</f>
        <v>0</v>
      </c>
      <c r="Y43" s="268">
        <f>'Initial unit rates'!Y171</f>
        <v>0</v>
      </c>
      <c r="Z43" s="256"/>
      <c r="AA43" s="256"/>
    </row>
    <row r="44" spans="4:27" x14ac:dyDescent="0.35">
      <c r="D44"/>
      <c r="F44" t="s">
        <v>198</v>
      </c>
      <c r="G44" t="s">
        <v>269</v>
      </c>
      <c r="H44" s="256"/>
      <c r="I44" s="256"/>
      <c r="J44" s="268">
        <f>'Initial unit rates'!J172</f>
        <v>0.35921908342276054</v>
      </c>
      <c r="K44" s="268">
        <f>'Initial unit rates'!K172</f>
        <v>0.35921908342276054</v>
      </c>
      <c r="L44" s="268">
        <f>'Initial unit rates'!L172</f>
        <v>0.33601907649414514</v>
      </c>
      <c r="M44" s="268">
        <f>'Initial unit rates'!M172</f>
        <v>0.33601907649414514</v>
      </c>
      <c r="N44" s="268">
        <f>'Initial unit rates'!N172</f>
        <v>0.29557607480191062</v>
      </c>
      <c r="O44" s="268">
        <f>'Initial unit rates'!O172</f>
        <v>0.24045163752342016</v>
      </c>
      <c r="P44" s="268">
        <f>'Initial unit rates'!P172</f>
        <v>0</v>
      </c>
      <c r="Q44" s="268">
        <f>'Initial unit rates'!Q172</f>
        <v>0.75971513284496317</v>
      </c>
      <c r="R44" s="268">
        <f>'Initial unit rates'!R172</f>
        <v>-0.2493378844018998</v>
      </c>
      <c r="S44" s="268">
        <f>'Initial unit rates'!S172</f>
        <v>0</v>
      </c>
      <c r="T44" s="268">
        <f>'Initial unit rates'!T172</f>
        <v>-0.2493378844018998</v>
      </c>
      <c r="U44" s="268">
        <f>'Initial unit rates'!U172</f>
        <v>-0.2493378844018998</v>
      </c>
      <c r="V44" s="268">
        <f>'Initial unit rates'!V172</f>
        <v>0</v>
      </c>
      <c r="W44" s="268">
        <f>'Initial unit rates'!W172</f>
        <v>0</v>
      </c>
      <c r="X44" s="268">
        <f>'Initial unit rates'!X172</f>
        <v>0</v>
      </c>
      <c r="Y44" s="268">
        <f>'Initial unit rates'!Y172</f>
        <v>0</v>
      </c>
      <c r="Z44" s="256"/>
      <c r="AA44" s="256"/>
    </row>
    <row r="45" spans="4:27" x14ac:dyDescent="0.35">
      <c r="D45"/>
      <c r="F45" t="s">
        <v>199</v>
      </c>
      <c r="G45" t="s">
        <v>269</v>
      </c>
      <c r="H45" s="256"/>
      <c r="I45" s="256"/>
      <c r="J45" s="268">
        <f>'Initial unit rates'!J173</f>
        <v>0.92821297024464766</v>
      </c>
      <c r="K45" s="268">
        <f>'Initial unit rates'!K173</f>
        <v>0.92821297024464766</v>
      </c>
      <c r="L45" s="268">
        <f>'Initial unit rates'!L173</f>
        <v>0.86826474272923249</v>
      </c>
      <c r="M45" s="268">
        <f>'Initial unit rates'!M173</f>
        <v>0.86826474272923249</v>
      </c>
      <c r="N45" s="268">
        <f>'Initial unit rates'!N173</f>
        <v>0.76376105554015783</v>
      </c>
      <c r="O45" s="268">
        <f>'Initial unit rates'!O173</f>
        <v>0</v>
      </c>
      <c r="P45" s="268">
        <f>'Initial unit rates'!P173</f>
        <v>0</v>
      </c>
      <c r="Q45" s="268">
        <f>'Initial unit rates'!Q173</f>
        <v>1.9630845702256738</v>
      </c>
      <c r="R45" s="268">
        <f>'Initial unit rates'!R173</f>
        <v>0</v>
      </c>
      <c r="S45" s="268">
        <f>'Initial unit rates'!S173</f>
        <v>0</v>
      </c>
      <c r="T45" s="268">
        <f>'Initial unit rates'!T173</f>
        <v>0</v>
      </c>
      <c r="U45" s="268">
        <f>'Initial unit rates'!U173</f>
        <v>0</v>
      </c>
      <c r="V45" s="268">
        <f>'Initial unit rates'!V173</f>
        <v>0</v>
      </c>
      <c r="W45" s="268">
        <f>'Initial unit rates'!W173</f>
        <v>0</v>
      </c>
      <c r="X45" s="268">
        <f>'Initial unit rates'!X173</f>
        <v>0</v>
      </c>
      <c r="Y45" s="268">
        <f>'Initial unit rates'!Y173</f>
        <v>0</v>
      </c>
      <c r="Z45" s="256"/>
      <c r="AA45" s="256"/>
    </row>
    <row r="46" spans="4:27" x14ac:dyDescent="0.35">
      <c r="D46"/>
      <c r="F46" s="19" t="s">
        <v>375</v>
      </c>
      <c r="G46" s="19" t="s">
        <v>269</v>
      </c>
      <c r="H46" s="255"/>
      <c r="I46" s="255" t="s">
        <v>154</v>
      </c>
      <c r="J46" s="269"/>
      <c r="K46" s="269"/>
      <c r="L46" s="269"/>
      <c r="M46" s="269"/>
      <c r="N46" s="269"/>
      <c r="O46" s="269"/>
      <c r="P46" s="269"/>
      <c r="Q46" s="267">
        <f>'Service model charges'!$Q$44</f>
        <v>2.8663816719090116</v>
      </c>
      <c r="R46" s="269"/>
      <c r="S46" s="269"/>
      <c r="T46" s="269"/>
      <c r="U46" s="269"/>
      <c r="V46" s="269"/>
      <c r="W46" s="269"/>
      <c r="X46" s="269"/>
      <c r="Y46" s="269"/>
      <c r="Z46" s="256"/>
      <c r="AA46" s="256" t="s">
        <v>653</v>
      </c>
    </row>
    <row r="47" spans="4:27" x14ac:dyDescent="0.35">
      <c r="D47"/>
      <c r="F47" s="28" t="s">
        <v>376</v>
      </c>
      <c r="G47" s="28" t="s">
        <v>269</v>
      </c>
      <c r="H47" s="258"/>
      <c r="I47" s="258"/>
      <c r="J47" s="259"/>
      <c r="K47" s="259"/>
      <c r="L47" s="259"/>
      <c r="M47" s="259"/>
      <c r="N47" s="259"/>
      <c r="O47" s="259"/>
      <c r="P47" s="259"/>
      <c r="Q47" s="259"/>
      <c r="R47" s="259"/>
      <c r="S47" s="259"/>
      <c r="T47" s="259"/>
      <c r="U47" s="259"/>
      <c r="V47" s="259"/>
      <c r="W47" s="259"/>
      <c r="X47" s="259"/>
      <c r="Y47" s="259"/>
      <c r="Z47" s="256"/>
      <c r="AA47" s="256"/>
    </row>
    <row r="48" spans="4:27" x14ac:dyDescent="0.35">
      <c r="J48" s="79"/>
      <c r="K48" s="79"/>
      <c r="L48" s="79"/>
      <c r="M48" s="79"/>
      <c r="N48" s="79"/>
      <c r="O48" s="79"/>
      <c r="P48" s="79"/>
      <c r="Q48" s="79"/>
      <c r="R48" s="79"/>
      <c r="S48" s="79"/>
      <c r="T48" s="79"/>
      <c r="U48" s="79"/>
      <c r="V48" s="79"/>
      <c r="W48" s="79"/>
      <c r="X48" s="79"/>
      <c r="Y48" s="79"/>
    </row>
    <row r="49" spans="3:27" x14ac:dyDescent="0.35">
      <c r="C49" s="26" t="str">
        <f ca="1">INDEX('Version control'!$H$38:$H$61,MATCH($A$1,'Version control'!$F$38:$F$61,0),1)&amp;"-B: Initial unit rate 2"</f>
        <v>Section 111-B: Initial unit rate 2</v>
      </c>
      <c r="D49" s="26"/>
      <c r="E49" s="26"/>
      <c r="F49" s="26"/>
      <c r="G49" s="26"/>
      <c r="H49" s="26"/>
      <c r="I49" s="26"/>
      <c r="J49" s="80"/>
      <c r="K49" s="80"/>
      <c r="L49" s="80"/>
      <c r="M49" s="80"/>
      <c r="N49" s="80"/>
      <c r="O49" s="80"/>
      <c r="P49" s="80"/>
      <c r="Q49" s="80"/>
      <c r="R49" s="80"/>
      <c r="S49" s="80"/>
      <c r="T49" s="80"/>
      <c r="U49" s="80"/>
      <c r="V49" s="80"/>
      <c r="W49" s="80"/>
      <c r="X49" s="80"/>
      <c r="Y49" s="80"/>
      <c r="Z49" s="26"/>
      <c r="AA49" s="26"/>
    </row>
    <row r="50" spans="3:27" x14ac:dyDescent="0.35">
      <c r="C50" s="27"/>
      <c r="D50"/>
      <c r="E50" s="27"/>
      <c r="J50" s="79"/>
      <c r="K50" s="79"/>
      <c r="L50" s="79"/>
      <c r="M50" s="79"/>
      <c r="N50" s="79"/>
      <c r="O50" s="79"/>
      <c r="P50" s="79"/>
      <c r="Q50" s="79"/>
      <c r="R50" s="79"/>
      <c r="S50" s="79"/>
      <c r="T50" s="79"/>
      <c r="U50" s="79"/>
      <c r="V50" s="79"/>
      <c r="W50" s="79"/>
      <c r="X50" s="79"/>
      <c r="Y50" s="79"/>
    </row>
    <row r="51" spans="3:27" x14ac:dyDescent="0.35">
      <c r="D51"/>
      <c r="E51" s="27" t="s">
        <v>620</v>
      </c>
      <c r="J51" s="79"/>
      <c r="K51" s="79"/>
      <c r="L51" s="79"/>
      <c r="M51" s="79"/>
      <c r="N51" s="79"/>
      <c r="O51" s="79"/>
      <c r="P51" s="79"/>
      <c r="Q51" s="79"/>
      <c r="R51" s="79"/>
      <c r="S51" s="79"/>
      <c r="T51" s="79"/>
      <c r="U51" s="79"/>
      <c r="V51" s="79"/>
      <c r="W51" s="79"/>
      <c r="X51" s="79"/>
      <c r="Y51" s="79"/>
    </row>
    <row r="52" spans="3:27" x14ac:dyDescent="0.35">
      <c r="D52"/>
      <c r="F52" s="19" t="s">
        <v>189</v>
      </c>
      <c r="G52" s="19" t="s">
        <v>269</v>
      </c>
      <c r="H52" s="255"/>
      <c r="I52" s="255"/>
      <c r="J52" s="267">
        <f>'Initial unit rates'!J181</f>
        <v>0</v>
      </c>
      <c r="K52" s="267">
        <f>'Initial unit rates'!K181</f>
        <v>0</v>
      </c>
      <c r="L52" s="267">
        <f>'Initial unit rates'!L181</f>
        <v>0</v>
      </c>
      <c r="M52" s="267">
        <f>'Initial unit rates'!M181</f>
        <v>0</v>
      </c>
      <c r="N52" s="267">
        <f>'Initial unit rates'!N181</f>
        <v>0</v>
      </c>
      <c r="O52" s="267">
        <f>'Initial unit rates'!O181</f>
        <v>0</v>
      </c>
      <c r="P52" s="267">
        <f>'Initial unit rates'!P181</f>
        <v>0</v>
      </c>
      <c r="Q52" s="267">
        <f>'Initial unit rates'!Q181</f>
        <v>0</v>
      </c>
      <c r="R52" s="267">
        <f>'Initial unit rates'!R181</f>
        <v>0</v>
      </c>
      <c r="S52" s="267">
        <f>'Initial unit rates'!S181</f>
        <v>0</v>
      </c>
      <c r="T52" s="267">
        <f>'Initial unit rates'!T181</f>
        <v>0</v>
      </c>
      <c r="U52" s="267">
        <f>'Initial unit rates'!U181</f>
        <v>0</v>
      </c>
      <c r="V52" s="267">
        <f>'Initial unit rates'!V181</f>
        <v>0</v>
      </c>
      <c r="W52" s="267">
        <f>'Initial unit rates'!W181</f>
        <v>0</v>
      </c>
      <c r="X52" s="267">
        <f>'Initial unit rates'!X181</f>
        <v>0</v>
      </c>
      <c r="Y52" s="267">
        <f>'Initial unit rates'!Y181</f>
        <v>0</v>
      </c>
      <c r="Z52" s="256"/>
      <c r="AA52" s="256"/>
    </row>
    <row r="53" spans="3:27" x14ac:dyDescent="0.35">
      <c r="D53"/>
      <c r="F53" t="s">
        <v>191</v>
      </c>
      <c r="G53" t="s">
        <v>269</v>
      </c>
      <c r="H53" s="256"/>
      <c r="I53" s="256"/>
      <c r="J53" s="268">
        <f>'Initial unit rates'!J182</f>
        <v>0</v>
      </c>
      <c r="K53" s="268">
        <f>'Initial unit rates'!K182</f>
        <v>0</v>
      </c>
      <c r="L53" s="268">
        <f>'Initial unit rates'!L182</f>
        <v>0</v>
      </c>
      <c r="M53" s="268">
        <f>'Initial unit rates'!M182</f>
        <v>0</v>
      </c>
      <c r="N53" s="268">
        <f>'Initial unit rates'!N182</f>
        <v>0</v>
      </c>
      <c r="O53" s="268">
        <f>'Initial unit rates'!O182</f>
        <v>0</v>
      </c>
      <c r="P53" s="268">
        <f>'Initial unit rates'!P182</f>
        <v>0</v>
      </c>
      <c r="Q53" s="268">
        <f>'Initial unit rates'!Q182</f>
        <v>0</v>
      </c>
      <c r="R53" s="268">
        <f>'Initial unit rates'!R182</f>
        <v>0</v>
      </c>
      <c r="S53" s="268">
        <f>'Initial unit rates'!S182</f>
        <v>0</v>
      </c>
      <c r="T53" s="268">
        <f>'Initial unit rates'!T182</f>
        <v>0</v>
      </c>
      <c r="U53" s="268">
        <f>'Initial unit rates'!U182</f>
        <v>0</v>
      </c>
      <c r="V53" s="268">
        <f>'Initial unit rates'!V182</f>
        <v>0</v>
      </c>
      <c r="W53" s="268">
        <f>'Initial unit rates'!W182</f>
        <v>0</v>
      </c>
      <c r="X53" s="268">
        <f>'Initial unit rates'!X182</f>
        <v>0</v>
      </c>
      <c r="Y53" s="268">
        <f>'Initial unit rates'!Y182</f>
        <v>0</v>
      </c>
      <c r="Z53" s="256"/>
      <c r="AA53" s="256"/>
    </row>
    <row r="54" spans="3:27" x14ac:dyDescent="0.35">
      <c r="D54"/>
      <c r="F54" t="s">
        <v>192</v>
      </c>
      <c r="G54" t="s">
        <v>269</v>
      </c>
      <c r="H54" s="256"/>
      <c r="I54" s="256"/>
      <c r="J54" s="268">
        <f>'Initial unit rates'!J183</f>
        <v>9.7267410910689162E-2</v>
      </c>
      <c r="K54" s="268">
        <f>'Initial unit rates'!K183</f>
        <v>9.7267410910689162E-2</v>
      </c>
      <c r="L54" s="268">
        <f>'Initial unit rates'!L183</f>
        <v>9.0985437844128284E-2</v>
      </c>
      <c r="M54" s="268">
        <f>'Initial unit rates'!M183</f>
        <v>9.0985437844128284E-2</v>
      </c>
      <c r="N54" s="268">
        <f>'Initial unit rates'!N183</f>
        <v>8.0034499417979438E-2</v>
      </c>
      <c r="O54" s="268">
        <f>'Initial unit rates'!O183</f>
        <v>6.5108200845814812E-2</v>
      </c>
      <c r="P54" s="268">
        <f>'Initial unit rates'!P183</f>
        <v>6.6012677397610492E-2</v>
      </c>
      <c r="Q54" s="268">
        <f>'Initial unit rates'!Q183</f>
        <v>7.9304438521386938E-2</v>
      </c>
      <c r="R54" s="268">
        <f>'Initial unit rates'!R183</f>
        <v>-6.7514370970038623E-2</v>
      </c>
      <c r="S54" s="268">
        <f>'Initial unit rates'!S183</f>
        <v>-6.4603200845642458E-2</v>
      </c>
      <c r="T54" s="268">
        <f>'Initial unit rates'!T183</f>
        <v>-6.7514370970038623E-2</v>
      </c>
      <c r="U54" s="268">
        <f>'Initial unit rates'!U183</f>
        <v>-6.7514370970038623E-2</v>
      </c>
      <c r="V54" s="268">
        <f>'Initial unit rates'!V183</f>
        <v>-6.4603200845642458E-2</v>
      </c>
      <c r="W54" s="268">
        <f>'Initial unit rates'!W183</f>
        <v>-6.4603200845642458E-2</v>
      </c>
      <c r="X54" s="268">
        <f>'Initial unit rates'!X183</f>
        <v>-6.3612164207550143E-2</v>
      </c>
      <c r="Y54" s="268">
        <f>'Initial unit rates'!Y183</f>
        <v>-6.3612164207550143E-2</v>
      </c>
      <c r="Z54" s="256"/>
      <c r="AA54" s="256"/>
    </row>
    <row r="55" spans="3:27" x14ac:dyDescent="0.35">
      <c r="D55"/>
      <c r="F55" t="s">
        <v>193</v>
      </c>
      <c r="G55" t="s">
        <v>269</v>
      </c>
      <c r="H55" s="256"/>
      <c r="I55" s="256"/>
      <c r="J55" s="268">
        <f>'Initial unit rates'!J184</f>
        <v>2.5167734851741643E-2</v>
      </c>
      <c r="K55" s="268">
        <f>'Initial unit rates'!K184</f>
        <v>2.5167734851741643E-2</v>
      </c>
      <c r="L55" s="268">
        <f>'Initial unit rates'!L184</f>
        <v>2.3542287736364461E-2</v>
      </c>
      <c r="M55" s="268">
        <f>'Initial unit rates'!M184</f>
        <v>2.3542287736364461E-2</v>
      </c>
      <c r="N55" s="268">
        <f>'Initial unit rates'!N184</f>
        <v>2.0708755805097907E-2</v>
      </c>
      <c r="O55" s="268">
        <f>'Initial unit rates'!O184</f>
        <v>1.6846607925711035E-2</v>
      </c>
      <c r="P55" s="268">
        <f>'Initial unit rates'!P184</f>
        <v>1.7080639301914859E-2</v>
      </c>
      <c r="Q55" s="268">
        <f>'Initial unit rates'!Q184</f>
        <v>2.0519854107200999E-2</v>
      </c>
      <c r="R55" s="268">
        <f>'Initial unit rates'!R184</f>
        <v>-1.7469199306808365E-2</v>
      </c>
      <c r="S55" s="268">
        <f>'Initial unit rates'!S184</f>
        <v>-1.671594025412947E-2</v>
      </c>
      <c r="T55" s="268">
        <f>'Initial unit rates'!T184</f>
        <v>-1.7469199306808365E-2</v>
      </c>
      <c r="U55" s="268">
        <f>'Initial unit rates'!U184</f>
        <v>-1.7469199306808365E-2</v>
      </c>
      <c r="V55" s="268">
        <f>'Initial unit rates'!V184</f>
        <v>-1.671594025412947E-2</v>
      </c>
      <c r="W55" s="268">
        <f>'Initial unit rates'!W184</f>
        <v>-1.671594025412947E-2</v>
      </c>
      <c r="X55" s="268">
        <f>'Initial unit rates'!X184</f>
        <v>-1.6459511640451546E-2</v>
      </c>
      <c r="Y55" s="268">
        <f>'Initial unit rates'!Y184</f>
        <v>-1.6459511640451546E-2</v>
      </c>
      <c r="Z55" s="256"/>
      <c r="AA55" s="256"/>
    </row>
    <row r="56" spans="3:27" x14ac:dyDescent="0.35">
      <c r="D56"/>
      <c r="F56" t="s">
        <v>194</v>
      </c>
      <c r="G56" t="s">
        <v>269</v>
      </c>
      <c r="H56" s="256"/>
      <c r="I56" s="256"/>
      <c r="J56" s="268">
        <f>'Initial unit rates'!J185</f>
        <v>0.10134289336074935</v>
      </c>
      <c r="K56" s="268">
        <f>'Initial unit rates'!K185</f>
        <v>0.10134289336074935</v>
      </c>
      <c r="L56" s="268">
        <f>'Initial unit rates'!L185</f>
        <v>9.4797707047893379E-2</v>
      </c>
      <c r="M56" s="268">
        <f>'Initial unit rates'!M185</f>
        <v>9.4797707047893379E-2</v>
      </c>
      <c r="N56" s="268">
        <f>'Initial unit rates'!N185</f>
        <v>8.3387926786132868E-2</v>
      </c>
      <c r="O56" s="268">
        <f>'Initial unit rates'!O185</f>
        <v>6.7836219690130026E-2</v>
      </c>
      <c r="P56" s="268">
        <f>'Initial unit rates'!P185</f>
        <v>6.7235346559306033E-2</v>
      </c>
      <c r="Q56" s="268">
        <f>'Initial unit rates'!Q185</f>
        <v>7.7388329627599034E-2</v>
      </c>
      <c r="R56" s="268">
        <f>'Initial unit rates'!R185</f>
        <v>-7.0343207796670026E-2</v>
      </c>
      <c r="S56" s="268">
        <f>'Initial unit rates'!S185</f>
        <v>-6.7310060304520011E-2</v>
      </c>
      <c r="T56" s="268">
        <f>'Initial unit rates'!T185</f>
        <v>-7.0343207796670026E-2</v>
      </c>
      <c r="U56" s="268">
        <f>'Initial unit rates'!U185</f>
        <v>-7.0343207796670026E-2</v>
      </c>
      <c r="V56" s="268">
        <f>'Initial unit rates'!V185</f>
        <v>-6.7310060304520011E-2</v>
      </c>
      <c r="W56" s="268">
        <f>'Initial unit rates'!W185</f>
        <v>-6.7310060304520011E-2</v>
      </c>
      <c r="X56" s="268">
        <f>'Initial unit rates'!X185</f>
        <v>-6.4790371705737426E-2</v>
      </c>
      <c r="Y56" s="268">
        <f>'Initial unit rates'!Y185</f>
        <v>-6.4790371705737426E-2</v>
      </c>
      <c r="Z56" s="256"/>
      <c r="AA56" s="256"/>
    </row>
    <row r="57" spans="3:27" x14ac:dyDescent="0.35">
      <c r="D57"/>
      <c r="F57" t="s">
        <v>195</v>
      </c>
      <c r="G57" t="s">
        <v>269</v>
      </c>
      <c r="H57" s="256"/>
      <c r="I57" s="256"/>
      <c r="J57" s="268">
        <f>'Initial unit rates'!J186</f>
        <v>7.0825918681767311E-2</v>
      </c>
      <c r="K57" s="268">
        <f>'Initial unit rates'!K186</f>
        <v>7.0825918681767311E-2</v>
      </c>
      <c r="L57" s="268">
        <f>'Initial unit rates'!L186</f>
        <v>6.6251657792045213E-2</v>
      </c>
      <c r="M57" s="268">
        <f>'Initial unit rates'!M186</f>
        <v>6.6251657792045213E-2</v>
      </c>
      <c r="N57" s="268">
        <f>'Initial unit rates'!N186</f>
        <v>5.827765841036512E-2</v>
      </c>
      <c r="O57" s="268">
        <f>'Initial unit rates'!O186</f>
        <v>4.7408973832520192E-2</v>
      </c>
      <c r="P57" s="268">
        <f>'Initial unit rates'!P186</f>
        <v>4.5999223844210305E-2</v>
      </c>
      <c r="Q57" s="268">
        <f>'Initial unit rates'!Q186</f>
        <v>5.4084695624498427E-2</v>
      </c>
      <c r="R57" s="268">
        <f>'Initial unit rates'!R186</f>
        <v>-4.9161042772745744E-2</v>
      </c>
      <c r="S57" s="268">
        <f>'Initial unit rates'!S186</f>
        <v>-4.7041254689884224E-2</v>
      </c>
      <c r="T57" s="268">
        <f>'Initial unit rates'!T186</f>
        <v>-4.9161042772745744E-2</v>
      </c>
      <c r="U57" s="268">
        <f>'Initial unit rates'!U186</f>
        <v>-4.9161042772745744E-2</v>
      </c>
      <c r="V57" s="268">
        <f>'Initial unit rates'!V186</f>
        <v>-4.7041254689884224E-2</v>
      </c>
      <c r="W57" s="268">
        <f>'Initial unit rates'!W186</f>
        <v>-4.7041254689884224E-2</v>
      </c>
      <c r="X57" s="268">
        <f>'Initial unit rates'!X186</f>
        <v>-4.4326488425444156E-2</v>
      </c>
      <c r="Y57" s="268">
        <f>'Initial unit rates'!Y186</f>
        <v>-4.4326488425444156E-2</v>
      </c>
      <c r="Z57" s="256"/>
      <c r="AA57" s="256"/>
    </row>
    <row r="58" spans="3:27" x14ac:dyDescent="0.35">
      <c r="D58"/>
      <c r="F58" t="s">
        <v>196</v>
      </c>
      <c r="G58" t="s">
        <v>269</v>
      </c>
      <c r="H58" s="256"/>
      <c r="I58" s="256"/>
      <c r="J58" s="268">
        <f>'Initial unit rates'!J187</f>
        <v>0</v>
      </c>
      <c r="K58" s="268">
        <f>'Initial unit rates'!K187</f>
        <v>0</v>
      </c>
      <c r="L58" s="268">
        <f>'Initial unit rates'!L187</f>
        <v>0</v>
      </c>
      <c r="M58" s="268">
        <f>'Initial unit rates'!M187</f>
        <v>0</v>
      </c>
      <c r="N58" s="268">
        <f>'Initial unit rates'!N187</f>
        <v>0</v>
      </c>
      <c r="O58" s="268">
        <f>'Initial unit rates'!O187</f>
        <v>0</v>
      </c>
      <c r="P58" s="268">
        <f>'Initial unit rates'!P187</f>
        <v>0</v>
      </c>
      <c r="Q58" s="268">
        <f>'Initial unit rates'!Q187</f>
        <v>0</v>
      </c>
      <c r="R58" s="268">
        <f>'Initial unit rates'!R187</f>
        <v>0</v>
      </c>
      <c r="S58" s="268">
        <f>'Initial unit rates'!S187</f>
        <v>0</v>
      </c>
      <c r="T58" s="268">
        <f>'Initial unit rates'!T187</f>
        <v>0</v>
      </c>
      <c r="U58" s="268">
        <f>'Initial unit rates'!U187</f>
        <v>0</v>
      </c>
      <c r="V58" s="268">
        <f>'Initial unit rates'!V187</f>
        <v>0</v>
      </c>
      <c r="W58" s="268">
        <f>'Initial unit rates'!W187</f>
        <v>0</v>
      </c>
      <c r="X58" s="268">
        <f>'Initial unit rates'!X187</f>
        <v>0</v>
      </c>
      <c r="Y58" s="268">
        <f>'Initial unit rates'!Y187</f>
        <v>0</v>
      </c>
      <c r="Z58" s="256"/>
      <c r="AA58" s="256"/>
    </row>
    <row r="59" spans="3:27" x14ac:dyDescent="0.35">
      <c r="D59"/>
      <c r="F59" t="s">
        <v>197</v>
      </c>
      <c r="G59" t="s">
        <v>269</v>
      </c>
      <c r="H59" s="256"/>
      <c r="I59" s="256"/>
      <c r="J59" s="268">
        <f>'Initial unit rates'!J188</f>
        <v>0.24647577519482156</v>
      </c>
      <c r="K59" s="268">
        <f>'Initial unit rates'!K188</f>
        <v>0.24647577519482156</v>
      </c>
      <c r="L59" s="268">
        <f>'Initial unit rates'!L188</f>
        <v>0.23055724537237895</v>
      </c>
      <c r="M59" s="268">
        <f>'Initial unit rates'!M188</f>
        <v>0.23055724537237895</v>
      </c>
      <c r="N59" s="268">
        <f>'Initial unit rates'!N188</f>
        <v>0.20280754984307017</v>
      </c>
      <c r="O59" s="268">
        <f>'Initial unit rates'!O188</f>
        <v>0.16498428533013207</v>
      </c>
      <c r="P59" s="268">
        <f>'Initial unit rates'!P188</f>
        <v>0.15722402556587892</v>
      </c>
      <c r="Q59" s="268">
        <f>'Initial unit rates'!Q188</f>
        <v>0.18209562303668567</v>
      </c>
      <c r="R59" s="268">
        <f>'Initial unit rates'!R188</f>
        <v>-0.17108152428268558</v>
      </c>
      <c r="S59" s="268">
        <f>'Initial unit rates'!S188</f>
        <v>-0.16370461452003765</v>
      </c>
      <c r="T59" s="268">
        <f>'Initial unit rates'!T188</f>
        <v>-0.17108152428268558</v>
      </c>
      <c r="U59" s="268">
        <f>'Initial unit rates'!U188</f>
        <v>-0.17108152428268558</v>
      </c>
      <c r="V59" s="268">
        <f>'Initial unit rates'!V188</f>
        <v>-0.16370461452003765</v>
      </c>
      <c r="W59" s="268">
        <f>'Initial unit rates'!W188</f>
        <v>-0.16370461452003765</v>
      </c>
      <c r="X59" s="268">
        <f>'Initial unit rates'!X188</f>
        <v>0</v>
      </c>
      <c r="Y59" s="268">
        <f>'Initial unit rates'!Y188</f>
        <v>0</v>
      </c>
      <c r="Z59" s="256"/>
      <c r="AA59" s="256"/>
    </row>
    <row r="60" spans="3:27" x14ac:dyDescent="0.35">
      <c r="D60"/>
      <c r="F60" t="s">
        <v>198</v>
      </c>
      <c r="G60" t="s">
        <v>269</v>
      </c>
      <c r="H60" s="256"/>
      <c r="I60" s="256"/>
      <c r="J60" s="268">
        <f>'Initial unit rates'!J189</f>
        <v>8.3153330432957362E-2</v>
      </c>
      <c r="K60" s="268">
        <f>'Initial unit rates'!K189</f>
        <v>8.3153330432957362E-2</v>
      </c>
      <c r="L60" s="268">
        <f>'Initial unit rates'!L189</f>
        <v>7.7782909062799638E-2</v>
      </c>
      <c r="M60" s="268">
        <f>'Initial unit rates'!M189</f>
        <v>7.7782909062799638E-2</v>
      </c>
      <c r="N60" s="268">
        <f>'Initial unit rates'!N189</f>
        <v>6.8421017006922463E-2</v>
      </c>
      <c r="O60" s="268">
        <f>'Initial unit rates'!O189</f>
        <v>5.5660613232508961E-2</v>
      </c>
      <c r="P60" s="268">
        <f>'Initial unit rates'!P189</f>
        <v>0</v>
      </c>
      <c r="Q60" s="268">
        <f>'Initial unit rates'!Q189</f>
        <v>6.1433451221712176E-2</v>
      </c>
      <c r="R60" s="268">
        <f>'Initial unit rates'!R189</f>
        <v>-5.7717633744766725E-2</v>
      </c>
      <c r="S60" s="268">
        <f>'Initial unit rates'!S189</f>
        <v>0</v>
      </c>
      <c r="T60" s="268">
        <f>'Initial unit rates'!T189</f>
        <v>-5.7717633744766725E-2</v>
      </c>
      <c r="U60" s="268">
        <f>'Initial unit rates'!U189</f>
        <v>-5.7717633744766725E-2</v>
      </c>
      <c r="V60" s="268">
        <f>'Initial unit rates'!V189</f>
        <v>0</v>
      </c>
      <c r="W60" s="268">
        <f>'Initial unit rates'!W189</f>
        <v>0</v>
      </c>
      <c r="X60" s="268">
        <f>'Initial unit rates'!X189</f>
        <v>0</v>
      </c>
      <c r="Y60" s="268">
        <f>'Initial unit rates'!Y189</f>
        <v>0</v>
      </c>
      <c r="Z60" s="256"/>
      <c r="AA60" s="256"/>
    </row>
    <row r="61" spans="3:27" x14ac:dyDescent="0.35">
      <c r="D61"/>
      <c r="F61" t="s">
        <v>199</v>
      </c>
      <c r="G61" t="s">
        <v>269</v>
      </c>
      <c r="H61" s="256"/>
      <c r="I61" s="256"/>
      <c r="J61" s="268">
        <f>'Initial unit rates'!J190</f>
        <v>1.6415854684134815E-2</v>
      </c>
      <c r="K61" s="268">
        <f>'Initial unit rates'!K190</f>
        <v>1.6415854684134815E-2</v>
      </c>
      <c r="L61" s="268">
        <f>'Initial unit rates'!L190</f>
        <v>1.5355643910302242E-2</v>
      </c>
      <c r="M61" s="268">
        <f>'Initial unit rates'!M190</f>
        <v>1.5355643910302242E-2</v>
      </c>
      <c r="N61" s="268">
        <f>'Initial unit rates'!N190</f>
        <v>1.3507450232939627E-2</v>
      </c>
      <c r="O61" s="268">
        <f>'Initial unit rates'!O190</f>
        <v>0</v>
      </c>
      <c r="P61" s="268">
        <f>'Initial unit rates'!P190</f>
        <v>0</v>
      </c>
      <c r="Q61" s="268">
        <f>'Initial unit rates'!Q190</f>
        <v>1.2127988172567588E-2</v>
      </c>
      <c r="R61" s="268">
        <f>'Initial unit rates'!R190</f>
        <v>0</v>
      </c>
      <c r="S61" s="268">
        <f>'Initial unit rates'!S190</f>
        <v>0</v>
      </c>
      <c r="T61" s="268">
        <f>'Initial unit rates'!T190</f>
        <v>0</v>
      </c>
      <c r="U61" s="268">
        <f>'Initial unit rates'!U190</f>
        <v>0</v>
      </c>
      <c r="V61" s="268">
        <f>'Initial unit rates'!V190</f>
        <v>0</v>
      </c>
      <c r="W61" s="268">
        <f>'Initial unit rates'!W190</f>
        <v>0</v>
      </c>
      <c r="X61" s="268">
        <f>'Initial unit rates'!X190</f>
        <v>0</v>
      </c>
      <c r="Y61" s="268">
        <f>'Initial unit rates'!Y190</f>
        <v>0</v>
      </c>
      <c r="Z61" s="256"/>
      <c r="AA61" s="256"/>
    </row>
    <row r="62" spans="3:27" x14ac:dyDescent="0.35">
      <c r="D62"/>
      <c r="F62" s="19" t="s">
        <v>375</v>
      </c>
      <c r="G62" s="19" t="s">
        <v>269</v>
      </c>
      <c r="H62" s="255"/>
      <c r="I62" s="255"/>
      <c r="J62" s="269"/>
      <c r="K62" s="269"/>
      <c r="L62" s="269"/>
      <c r="M62" s="269"/>
      <c r="N62" s="269"/>
      <c r="O62" s="269"/>
      <c r="P62" s="269"/>
      <c r="Q62" s="269"/>
      <c r="R62" s="269"/>
      <c r="S62" s="269"/>
      <c r="T62" s="269"/>
      <c r="U62" s="269"/>
      <c r="V62" s="269"/>
      <c r="W62" s="269"/>
      <c r="X62" s="269"/>
      <c r="Y62" s="269"/>
      <c r="Z62" s="256"/>
      <c r="AA62" s="256"/>
    </row>
    <row r="63" spans="3:27" x14ac:dyDescent="0.35">
      <c r="D63"/>
      <c r="F63" s="28" t="s">
        <v>376</v>
      </c>
      <c r="G63" s="28" t="s">
        <v>269</v>
      </c>
      <c r="H63" s="258"/>
      <c r="I63" s="258"/>
      <c r="J63" s="259"/>
      <c r="K63" s="259"/>
      <c r="L63" s="259"/>
      <c r="M63" s="259"/>
      <c r="N63" s="259"/>
      <c r="O63" s="259"/>
      <c r="P63" s="259"/>
      <c r="Q63" s="259"/>
      <c r="R63" s="259"/>
      <c r="S63" s="259"/>
      <c r="T63" s="259"/>
      <c r="U63" s="259"/>
      <c r="V63" s="259"/>
      <c r="W63" s="259"/>
      <c r="X63" s="259"/>
      <c r="Y63" s="259"/>
      <c r="Z63" s="256"/>
      <c r="AA63" s="256"/>
    </row>
    <row r="64" spans="3:27" x14ac:dyDescent="0.35">
      <c r="D64"/>
      <c r="J64" s="79"/>
      <c r="K64" s="79"/>
      <c r="L64" s="79"/>
      <c r="M64" s="79"/>
      <c r="N64" s="79"/>
      <c r="O64" s="79"/>
      <c r="P64" s="79"/>
      <c r="Q64" s="79"/>
      <c r="R64" s="79"/>
      <c r="S64" s="79"/>
      <c r="T64" s="79"/>
      <c r="U64" s="79"/>
      <c r="V64" s="79"/>
      <c r="W64" s="79"/>
      <c r="X64" s="79"/>
      <c r="Y64" s="79"/>
    </row>
    <row r="65" spans="3:27" x14ac:dyDescent="0.35">
      <c r="D65"/>
      <c r="E65" s="27" t="s">
        <v>621</v>
      </c>
      <c r="J65" s="79"/>
      <c r="K65" s="79"/>
      <c r="L65" s="79"/>
      <c r="M65" s="79"/>
      <c r="N65" s="79"/>
      <c r="O65" s="79"/>
      <c r="P65" s="79"/>
      <c r="Q65" s="79"/>
      <c r="R65" s="79"/>
      <c r="S65" s="79"/>
      <c r="T65" s="79"/>
      <c r="U65" s="79"/>
      <c r="V65" s="79"/>
      <c r="W65" s="79"/>
      <c r="X65" s="79"/>
      <c r="Y65" s="79"/>
    </row>
    <row r="66" spans="3:27" x14ac:dyDescent="0.35">
      <c r="D66"/>
      <c r="F66" s="19" t="s">
        <v>189</v>
      </c>
      <c r="G66" s="19" t="s">
        <v>269</v>
      </c>
      <c r="H66" s="255"/>
      <c r="I66" s="255"/>
      <c r="J66" s="267">
        <f>'Initial unit rates'!J193</f>
        <v>1.5245074587689362E-2</v>
      </c>
      <c r="K66" s="267">
        <f>'Initial unit rates'!K193</f>
        <v>1.5245074587689362E-2</v>
      </c>
      <c r="L66" s="267">
        <f>'Initial unit rates'!L193</f>
        <v>1.426047813281393E-2</v>
      </c>
      <c r="M66" s="267">
        <f>'Initial unit rates'!M193</f>
        <v>1.426047813281393E-2</v>
      </c>
      <c r="N66" s="267">
        <f>'Initial unit rates'!N193</f>
        <v>1.2544097779427905E-2</v>
      </c>
      <c r="O66" s="267">
        <f>'Initial unit rates'!O193</f>
        <v>1.0204644791831582E-2</v>
      </c>
      <c r="P66" s="267">
        <f>'Initial unit rates'!P193</f>
        <v>1.0346406686857264E-2</v>
      </c>
      <c r="Q66" s="267">
        <f>'Initial unit rates'!Q193</f>
        <v>2.4178941250542197E-2</v>
      </c>
      <c r="R66" s="267">
        <f>'Initial unit rates'!R193</f>
        <v>-1.0581772574621475E-2</v>
      </c>
      <c r="S66" s="267">
        <f>'Initial unit rates'!S193</f>
        <v>-1.0125494307642383E-2</v>
      </c>
      <c r="T66" s="267">
        <f>'Initial unit rates'!T193</f>
        <v>-1.0581772574621475E-2</v>
      </c>
      <c r="U66" s="267">
        <f>'Initial unit rates'!U193</f>
        <v>-1.0581772574621475E-2</v>
      </c>
      <c r="V66" s="267">
        <f>'Initial unit rates'!V193</f>
        <v>-1.0125494307642383E-2</v>
      </c>
      <c r="W66" s="267">
        <f>'Initial unit rates'!W193</f>
        <v>-1.0125494307642383E-2</v>
      </c>
      <c r="X66" s="267">
        <f>'Initial unit rates'!X193</f>
        <v>-9.9701655359048201E-3</v>
      </c>
      <c r="Y66" s="267">
        <f>'Initial unit rates'!Y193</f>
        <v>-9.9701655359048201E-3</v>
      </c>
      <c r="Z66" s="256"/>
      <c r="AA66" s="256"/>
    </row>
    <row r="67" spans="3:27" x14ac:dyDescent="0.35">
      <c r="D67"/>
      <c r="F67" t="s">
        <v>191</v>
      </c>
      <c r="G67" t="s">
        <v>269</v>
      </c>
      <c r="H67" s="256"/>
      <c r="I67" s="256"/>
      <c r="J67" s="268">
        <f>'Initial unit rates'!J194</f>
        <v>0</v>
      </c>
      <c r="K67" s="268">
        <f>'Initial unit rates'!K194</f>
        <v>0</v>
      </c>
      <c r="L67" s="268">
        <f>'Initial unit rates'!L194</f>
        <v>0</v>
      </c>
      <c r="M67" s="268">
        <f>'Initial unit rates'!M194</f>
        <v>0</v>
      </c>
      <c r="N67" s="268">
        <f>'Initial unit rates'!N194</f>
        <v>0</v>
      </c>
      <c r="O67" s="268">
        <f>'Initial unit rates'!O194</f>
        <v>0</v>
      </c>
      <c r="P67" s="268">
        <f>'Initial unit rates'!P194</f>
        <v>0</v>
      </c>
      <c r="Q67" s="268">
        <f>'Initial unit rates'!Q194</f>
        <v>0</v>
      </c>
      <c r="R67" s="268">
        <f>'Initial unit rates'!R194</f>
        <v>0</v>
      </c>
      <c r="S67" s="268">
        <f>'Initial unit rates'!S194</f>
        <v>0</v>
      </c>
      <c r="T67" s="268">
        <f>'Initial unit rates'!T194</f>
        <v>0</v>
      </c>
      <c r="U67" s="268">
        <f>'Initial unit rates'!U194</f>
        <v>0</v>
      </c>
      <c r="V67" s="268">
        <f>'Initial unit rates'!V194</f>
        <v>0</v>
      </c>
      <c r="W67" s="268">
        <f>'Initial unit rates'!W194</f>
        <v>0</v>
      </c>
      <c r="X67" s="268">
        <f>'Initial unit rates'!X194</f>
        <v>0</v>
      </c>
      <c r="Y67" s="268">
        <f>'Initial unit rates'!Y194</f>
        <v>0</v>
      </c>
      <c r="Z67" s="256"/>
      <c r="AA67" s="256"/>
    </row>
    <row r="68" spans="3:27" x14ac:dyDescent="0.35">
      <c r="D68"/>
      <c r="F68" t="s">
        <v>192</v>
      </c>
      <c r="G68" t="s">
        <v>269</v>
      </c>
      <c r="H68" s="256"/>
      <c r="I68" s="256"/>
      <c r="J68" s="268">
        <f>'Initial unit rates'!J195</f>
        <v>6.4796096117450533E-2</v>
      </c>
      <c r="K68" s="268">
        <f>'Initial unit rates'!K195</f>
        <v>6.4796096117450533E-2</v>
      </c>
      <c r="L68" s="268">
        <f>'Initial unit rates'!L195</f>
        <v>6.0611268673016278E-2</v>
      </c>
      <c r="M68" s="268">
        <f>'Initial unit rates'!M195</f>
        <v>6.0611268673016278E-2</v>
      </c>
      <c r="N68" s="268">
        <f>'Initial unit rates'!N195</f>
        <v>5.33161422561267E-2</v>
      </c>
      <c r="O68" s="268">
        <f>'Initial unit rates'!O195</f>
        <v>4.3372772036806326E-2</v>
      </c>
      <c r="P68" s="268">
        <f>'Initial unit rates'!P195</f>
        <v>4.3975302206340147E-2</v>
      </c>
      <c r="Q68" s="268">
        <f>'Initial unit rates'!Q195</f>
        <v>5.2829801604265043E-2</v>
      </c>
      <c r="R68" s="268">
        <f>'Initial unit rates'!R195</f>
        <v>-4.4975677153580751E-2</v>
      </c>
      <c r="S68" s="268">
        <f>'Initial unit rates'!S195</f>
        <v>-4.3036358964389648E-2</v>
      </c>
      <c r="T68" s="268">
        <f>'Initial unit rates'!T195</f>
        <v>-4.4975677153580751E-2</v>
      </c>
      <c r="U68" s="268">
        <f>'Initial unit rates'!U195</f>
        <v>-4.4975677153580751E-2</v>
      </c>
      <c r="V68" s="268">
        <f>'Initial unit rates'!V195</f>
        <v>-4.3036358964389648E-2</v>
      </c>
      <c r="W68" s="268">
        <f>'Initial unit rates'!W195</f>
        <v>-4.3036358964389648E-2</v>
      </c>
      <c r="X68" s="268">
        <f>'Initial unit rates'!X195</f>
        <v>-4.2376165538282037E-2</v>
      </c>
      <c r="Y68" s="268">
        <f>'Initial unit rates'!Y195</f>
        <v>-4.2376165538282037E-2</v>
      </c>
      <c r="Z68" s="256"/>
      <c r="AA68" s="256"/>
    </row>
    <row r="69" spans="3:27" x14ac:dyDescent="0.35">
      <c r="D69"/>
      <c r="F69" t="s">
        <v>193</v>
      </c>
      <c r="G69" t="s">
        <v>269</v>
      </c>
      <c r="H69" s="256"/>
      <c r="I69" s="256"/>
      <c r="J69" s="268">
        <f>'Initial unit rates'!J196</f>
        <v>1.6765851493768382E-2</v>
      </c>
      <c r="K69" s="268">
        <f>'Initial unit rates'!K196</f>
        <v>1.6765851493768382E-2</v>
      </c>
      <c r="L69" s="268">
        <f>'Initial unit rates'!L196</f>
        <v>1.5683036329514451E-2</v>
      </c>
      <c r="M69" s="268">
        <f>'Initial unit rates'!M196</f>
        <v>1.5683036329514451E-2</v>
      </c>
      <c r="N69" s="268">
        <f>'Initial unit rates'!N196</f>
        <v>1.3795437948399979E-2</v>
      </c>
      <c r="O69" s="268">
        <f>'Initial unit rates'!O196</f>
        <v>1.122261213891749E-2</v>
      </c>
      <c r="P69" s="268">
        <f>'Initial unit rates'!P196</f>
        <v>1.13785155335388E-2</v>
      </c>
      <c r="Q69" s="268">
        <f>'Initial unit rates'!Q196</f>
        <v>1.3669598343345451E-2</v>
      </c>
      <c r="R69" s="268">
        <f>'Initial unit rates'!R196</f>
        <v>-1.1637360414766228E-2</v>
      </c>
      <c r="S69" s="268">
        <f>'Initial unit rates'!S196</f>
        <v>-1.1135565974863459E-2</v>
      </c>
      <c r="T69" s="268">
        <f>'Initial unit rates'!T196</f>
        <v>-1.1637360414766228E-2</v>
      </c>
      <c r="U69" s="268">
        <f>'Initial unit rates'!U196</f>
        <v>-1.1637360414766228E-2</v>
      </c>
      <c r="V69" s="268">
        <f>'Initial unit rates'!V196</f>
        <v>-1.1135565974863459E-2</v>
      </c>
      <c r="W69" s="268">
        <f>'Initial unit rates'!W196</f>
        <v>-1.1135565974863459E-2</v>
      </c>
      <c r="X69" s="268">
        <f>'Initial unit rates'!X196</f>
        <v>-1.0964742335747625E-2</v>
      </c>
      <c r="Y69" s="268">
        <f>'Initial unit rates'!Y196</f>
        <v>-1.0964742335747625E-2</v>
      </c>
      <c r="Z69" s="256"/>
      <c r="AA69" s="256"/>
    </row>
    <row r="70" spans="3:27" x14ac:dyDescent="0.35">
      <c r="D70"/>
      <c r="F70" t="s">
        <v>194</v>
      </c>
      <c r="G70" t="s">
        <v>269</v>
      </c>
      <c r="H70" s="256"/>
      <c r="I70" s="256"/>
      <c r="J70" s="268">
        <f>'Initial unit rates'!J197</f>
        <v>6.8356637697647854E-2</v>
      </c>
      <c r="K70" s="268">
        <f>'Initial unit rates'!K197</f>
        <v>6.8356637697647854E-2</v>
      </c>
      <c r="L70" s="268">
        <f>'Initial unit rates'!L197</f>
        <v>6.3941854237115806E-2</v>
      </c>
      <c r="M70" s="268">
        <f>'Initial unit rates'!M197</f>
        <v>6.3941854237115806E-2</v>
      </c>
      <c r="N70" s="268">
        <f>'Initial unit rates'!N197</f>
        <v>5.6245861062867136E-2</v>
      </c>
      <c r="O70" s="268">
        <f>'Initial unit rates'!O197</f>
        <v>4.5756103248698256E-2</v>
      </c>
      <c r="P70" s="268">
        <f>'Initial unit rates'!P197</f>
        <v>4.6391742414768858E-2</v>
      </c>
      <c r="Q70" s="268">
        <f>'Initial unit rates'!Q197</f>
        <v>5.2199082095960581E-2</v>
      </c>
      <c r="R70" s="268">
        <f>'Initial unit rates'!R197</f>
        <v>-4.7447087905126445E-2</v>
      </c>
      <c r="S70" s="268">
        <f>'Initial unit rates'!S197</f>
        <v>-4.5401204298208146E-2</v>
      </c>
      <c r="T70" s="268">
        <f>'Initial unit rates'!T197</f>
        <v>-4.7447087905126445E-2</v>
      </c>
      <c r="U70" s="268">
        <f>'Initial unit rates'!U197</f>
        <v>-4.7447087905126445E-2</v>
      </c>
      <c r="V70" s="268">
        <f>'Initial unit rates'!V197</f>
        <v>-4.5401204298208146E-2</v>
      </c>
      <c r="W70" s="268">
        <f>'Initial unit rates'!W197</f>
        <v>-4.5401204298208146E-2</v>
      </c>
      <c r="X70" s="268">
        <f>'Initial unit rates'!X197</f>
        <v>-4.4704733283087029E-2</v>
      </c>
      <c r="Y70" s="268">
        <f>'Initial unit rates'!Y197</f>
        <v>-4.4704733283087029E-2</v>
      </c>
      <c r="Z70" s="256"/>
      <c r="AA70" s="256"/>
    </row>
    <row r="71" spans="3:27" x14ac:dyDescent="0.35">
      <c r="D71"/>
      <c r="F71" t="s">
        <v>195</v>
      </c>
      <c r="G71" t="s">
        <v>269</v>
      </c>
      <c r="H71" s="256"/>
      <c r="I71" s="256"/>
      <c r="J71" s="268">
        <f>'Initial unit rates'!J198</f>
        <v>4.836178501447682E-2</v>
      </c>
      <c r="K71" s="268">
        <f>'Initial unit rates'!K198</f>
        <v>4.836178501447682E-2</v>
      </c>
      <c r="L71" s="268">
        <f>'Initial unit rates'!L198</f>
        <v>4.5238360343589801E-2</v>
      </c>
      <c r="M71" s="268">
        <f>'Initial unit rates'!M198</f>
        <v>4.5238360343589801E-2</v>
      </c>
      <c r="N71" s="268">
        <f>'Initial unit rates'!N198</f>
        <v>3.9793505536480082E-2</v>
      </c>
      <c r="O71" s="268">
        <f>'Initial unit rates'!O198</f>
        <v>3.2372084159573766E-2</v>
      </c>
      <c r="P71" s="268">
        <f>'Initial unit rates'!P198</f>
        <v>3.2821793883920626E-2</v>
      </c>
      <c r="Q71" s="268">
        <f>'Initial unit rates'!Q198</f>
        <v>3.6930441158382739E-2</v>
      </c>
      <c r="R71" s="268">
        <f>'Initial unit rates'!R198</f>
        <v>-3.3568442540725878E-2</v>
      </c>
      <c r="S71" s="268">
        <f>'Initial unit rates'!S198</f>
        <v>-3.2120995935758796E-2</v>
      </c>
      <c r="T71" s="268">
        <f>'Initial unit rates'!T198</f>
        <v>-3.3568442540725878E-2</v>
      </c>
      <c r="U71" s="268">
        <f>'Initial unit rates'!U198</f>
        <v>-3.3568442540725878E-2</v>
      </c>
      <c r="V71" s="268">
        <f>'Initial unit rates'!V198</f>
        <v>-3.2120995935758796E-2</v>
      </c>
      <c r="W71" s="268">
        <f>'Initial unit rates'!W198</f>
        <v>-3.2120995935758796E-2</v>
      </c>
      <c r="X71" s="268">
        <f>'Initial unit rates'!X198</f>
        <v>-3.1628248155344471E-2</v>
      </c>
      <c r="Y71" s="268">
        <f>'Initial unit rates'!Y198</f>
        <v>-3.1628248155344471E-2</v>
      </c>
      <c r="Z71" s="256"/>
      <c r="AA71" s="256"/>
    </row>
    <row r="72" spans="3:27" x14ac:dyDescent="0.35">
      <c r="D72"/>
      <c r="F72" t="s">
        <v>196</v>
      </c>
      <c r="G72" t="s">
        <v>269</v>
      </c>
      <c r="H72" s="256"/>
      <c r="I72" s="256"/>
      <c r="J72" s="268">
        <f>'Initial unit rates'!J199</f>
        <v>0</v>
      </c>
      <c r="K72" s="268">
        <f>'Initial unit rates'!K199</f>
        <v>0</v>
      </c>
      <c r="L72" s="268">
        <f>'Initial unit rates'!L199</f>
        <v>0</v>
      </c>
      <c r="M72" s="268">
        <f>'Initial unit rates'!M199</f>
        <v>0</v>
      </c>
      <c r="N72" s="268">
        <f>'Initial unit rates'!N199</f>
        <v>0</v>
      </c>
      <c r="O72" s="268">
        <f>'Initial unit rates'!O199</f>
        <v>0</v>
      </c>
      <c r="P72" s="268">
        <f>'Initial unit rates'!P199</f>
        <v>0</v>
      </c>
      <c r="Q72" s="268">
        <f>'Initial unit rates'!Q199</f>
        <v>0</v>
      </c>
      <c r="R72" s="268">
        <f>'Initial unit rates'!R199</f>
        <v>0</v>
      </c>
      <c r="S72" s="268">
        <f>'Initial unit rates'!S199</f>
        <v>0</v>
      </c>
      <c r="T72" s="268">
        <f>'Initial unit rates'!T199</f>
        <v>0</v>
      </c>
      <c r="U72" s="268">
        <f>'Initial unit rates'!U199</f>
        <v>0</v>
      </c>
      <c r="V72" s="268">
        <f>'Initial unit rates'!V199</f>
        <v>0</v>
      </c>
      <c r="W72" s="268">
        <f>'Initial unit rates'!W199</f>
        <v>0</v>
      </c>
      <c r="X72" s="268">
        <f>'Initial unit rates'!X199</f>
        <v>0</v>
      </c>
      <c r="Y72" s="268">
        <f>'Initial unit rates'!Y199</f>
        <v>0</v>
      </c>
      <c r="Z72" s="256"/>
      <c r="AA72" s="256"/>
    </row>
    <row r="73" spans="3:27" x14ac:dyDescent="0.35">
      <c r="D73"/>
      <c r="F73" t="s">
        <v>197</v>
      </c>
      <c r="G73" t="s">
        <v>269</v>
      </c>
      <c r="H73" s="256"/>
      <c r="I73" s="256"/>
      <c r="J73" s="268">
        <f>'Initial unit rates'!J200</f>
        <v>0.25021828823903691</v>
      </c>
      <c r="K73" s="268">
        <f>'Initial unit rates'!K200</f>
        <v>0.25021828823903691</v>
      </c>
      <c r="L73" s="268">
        <f>'Initial unit rates'!L200</f>
        <v>0.23405804985331607</v>
      </c>
      <c r="M73" s="268">
        <f>'Initial unit rates'!M200</f>
        <v>0.23405804985331607</v>
      </c>
      <c r="N73" s="268">
        <f>'Initial unit rates'!N200</f>
        <v>0.20588700014666736</v>
      </c>
      <c r="O73" s="268">
        <f>'Initial unit rates'!O200</f>
        <v>0.16748942336834502</v>
      </c>
      <c r="P73" s="268">
        <f>'Initial unit rates'!P200</f>
        <v>0.16981616952539519</v>
      </c>
      <c r="Q73" s="268">
        <f>'Initial unit rates'!Q200</f>
        <v>0.18486058135346403</v>
      </c>
      <c r="R73" s="268">
        <f>'Initial unit rates'!R200</f>
        <v>-0.17367924341247068</v>
      </c>
      <c r="S73" s="268">
        <f>'Initial unit rates'!S200</f>
        <v>-0.1661903219075293</v>
      </c>
      <c r="T73" s="268">
        <f>'Initial unit rates'!T200</f>
        <v>-0.17367924341247068</v>
      </c>
      <c r="U73" s="268">
        <f>'Initial unit rates'!U200</f>
        <v>-0.17367924341247068</v>
      </c>
      <c r="V73" s="268">
        <f>'Initial unit rates'!V200</f>
        <v>-0.1661903219075293</v>
      </c>
      <c r="W73" s="268">
        <f>'Initial unit rates'!W200</f>
        <v>-0.1661903219075293</v>
      </c>
      <c r="X73" s="268">
        <f>'Initial unit rates'!X200</f>
        <v>0</v>
      </c>
      <c r="Y73" s="268">
        <f>'Initial unit rates'!Y200</f>
        <v>0</v>
      </c>
      <c r="Z73" s="256"/>
      <c r="AA73" s="256"/>
    </row>
    <row r="74" spans="3:27" x14ac:dyDescent="0.35">
      <c r="D74"/>
      <c r="F74" t="s">
        <v>198</v>
      </c>
      <c r="G74" t="s">
        <v>269</v>
      </c>
      <c r="H74" s="256"/>
      <c r="I74" s="256"/>
      <c r="J74" s="268">
        <f>'Initial unit rates'!J201</f>
        <v>9.6089667415739752E-2</v>
      </c>
      <c r="K74" s="268">
        <f>'Initial unit rates'!K201</f>
        <v>9.6089667415739752E-2</v>
      </c>
      <c r="L74" s="268">
        <f>'Initial unit rates'!L201</f>
        <v>8.988375839617381E-2</v>
      </c>
      <c r="M74" s="268">
        <f>'Initial unit rates'!M201</f>
        <v>8.988375839617381E-2</v>
      </c>
      <c r="N74" s="268">
        <f>'Initial unit rates'!N201</f>
        <v>7.9065417274448269E-2</v>
      </c>
      <c r="O74" s="268">
        <f>'Initial unit rates'!O201</f>
        <v>6.4319850880537863E-2</v>
      </c>
      <c r="P74" s="268">
        <f>'Initial unit rates'!P201</f>
        <v>0</v>
      </c>
      <c r="Q74" s="268">
        <f>'Initial unit rates'!Q201</f>
        <v>7.0990781311577197E-2</v>
      </c>
      <c r="R74" s="268">
        <f>'Initial unit rates'!R201</f>
        <v>-6.6696886362593105E-2</v>
      </c>
      <c r="S74" s="268">
        <f>'Initial unit rates'!S201</f>
        <v>0</v>
      </c>
      <c r="T74" s="268">
        <f>'Initial unit rates'!T201</f>
        <v>-6.6696886362593105E-2</v>
      </c>
      <c r="U74" s="268">
        <f>'Initial unit rates'!U201</f>
        <v>-6.6696886362593105E-2</v>
      </c>
      <c r="V74" s="268">
        <f>'Initial unit rates'!V201</f>
        <v>0</v>
      </c>
      <c r="W74" s="268">
        <f>'Initial unit rates'!W201</f>
        <v>0</v>
      </c>
      <c r="X74" s="268">
        <f>'Initial unit rates'!X201</f>
        <v>0</v>
      </c>
      <c r="Y74" s="268">
        <f>'Initial unit rates'!Y201</f>
        <v>0</v>
      </c>
      <c r="Z74" s="256"/>
      <c r="AA74" s="256"/>
    </row>
    <row r="75" spans="3:27" x14ac:dyDescent="0.35">
      <c r="D75"/>
      <c r="F75" t="s">
        <v>199</v>
      </c>
      <c r="G75" t="s">
        <v>269</v>
      </c>
      <c r="H75" s="256"/>
      <c r="I75" s="256"/>
      <c r="J75" s="268">
        <f>'Initial unit rates'!J202</f>
        <v>0.24829325533581278</v>
      </c>
      <c r="K75" s="268">
        <f>'Initial unit rates'!K202</f>
        <v>0.24829325533581278</v>
      </c>
      <c r="L75" s="268">
        <f>'Initial unit rates'!L202</f>
        <v>0.23225734435571604</v>
      </c>
      <c r="M75" s="268">
        <f>'Initial unit rates'!M202</f>
        <v>0.23225734435571604</v>
      </c>
      <c r="N75" s="268">
        <f>'Initial unit rates'!N202</f>
        <v>0.20430302619968782</v>
      </c>
      <c r="O75" s="268">
        <f>'Initial unit rates'!O202</f>
        <v>0</v>
      </c>
      <c r="P75" s="268">
        <f>'Initial unit rates'!P202</f>
        <v>0</v>
      </c>
      <c r="Q75" s="268">
        <f>'Initial unit rates'!Q202</f>
        <v>0.18343837235299884</v>
      </c>
      <c r="R75" s="268">
        <f>'Initial unit rates'!R202</f>
        <v>0</v>
      </c>
      <c r="S75" s="268">
        <f>'Initial unit rates'!S202</f>
        <v>0</v>
      </c>
      <c r="T75" s="268">
        <f>'Initial unit rates'!T202</f>
        <v>0</v>
      </c>
      <c r="U75" s="268">
        <f>'Initial unit rates'!U202</f>
        <v>0</v>
      </c>
      <c r="V75" s="268">
        <f>'Initial unit rates'!V202</f>
        <v>0</v>
      </c>
      <c r="W75" s="268">
        <f>'Initial unit rates'!W202</f>
        <v>0</v>
      </c>
      <c r="X75" s="268">
        <f>'Initial unit rates'!X202</f>
        <v>0</v>
      </c>
      <c r="Y75" s="268">
        <f>'Initial unit rates'!Y202</f>
        <v>0</v>
      </c>
      <c r="Z75" s="256"/>
      <c r="AA75" s="256"/>
    </row>
    <row r="76" spans="3:27" x14ac:dyDescent="0.35">
      <c r="D76"/>
      <c r="F76" s="19" t="s">
        <v>375</v>
      </c>
      <c r="G76" s="19" t="s">
        <v>269</v>
      </c>
      <c r="H76" s="255"/>
      <c r="I76" s="255" t="s">
        <v>154</v>
      </c>
      <c r="J76" s="269"/>
      <c r="K76" s="269"/>
      <c r="L76" s="269"/>
      <c r="M76" s="269"/>
      <c r="N76" s="269"/>
      <c r="O76" s="269"/>
      <c r="P76" s="269"/>
      <c r="Q76" s="267">
        <f>'Service model charges'!$Q$44</f>
        <v>2.8663816719090116</v>
      </c>
      <c r="R76" s="269"/>
      <c r="S76" s="269"/>
      <c r="T76" s="269"/>
      <c r="U76" s="269"/>
      <c r="V76" s="269"/>
      <c r="W76" s="269"/>
      <c r="X76" s="269"/>
      <c r="Y76" s="269"/>
      <c r="Z76" s="256"/>
      <c r="AA76" s="256" t="s">
        <v>653</v>
      </c>
    </row>
    <row r="77" spans="3:27" x14ac:dyDescent="0.35">
      <c r="D77"/>
      <c r="F77" s="28" t="s">
        <v>376</v>
      </c>
      <c r="G77" s="28" t="s">
        <v>269</v>
      </c>
      <c r="H77" s="258"/>
      <c r="I77" s="258"/>
      <c r="J77" s="259"/>
      <c r="K77" s="259"/>
      <c r="L77" s="259"/>
      <c r="M77" s="259"/>
      <c r="N77" s="259"/>
      <c r="O77" s="259"/>
      <c r="P77" s="259"/>
      <c r="Q77" s="259"/>
      <c r="R77" s="259"/>
      <c r="S77" s="259"/>
      <c r="T77" s="259"/>
      <c r="U77" s="259"/>
      <c r="V77" s="259"/>
      <c r="W77" s="259"/>
      <c r="X77" s="259"/>
      <c r="Y77" s="259"/>
      <c r="Z77" s="256"/>
      <c r="AA77" s="256"/>
    </row>
    <row r="78" spans="3:27" x14ac:dyDescent="0.35">
      <c r="J78" s="79"/>
      <c r="K78" s="79"/>
      <c r="L78" s="79"/>
      <c r="M78" s="79"/>
      <c r="N78" s="79"/>
      <c r="O78" s="79"/>
      <c r="P78" s="79"/>
      <c r="Q78" s="79"/>
      <c r="R78" s="79"/>
      <c r="S78" s="79"/>
      <c r="T78" s="79"/>
      <c r="U78" s="79"/>
      <c r="V78" s="79"/>
      <c r="W78" s="79"/>
      <c r="X78" s="79"/>
      <c r="Y78" s="79"/>
    </row>
    <row r="79" spans="3:27" x14ac:dyDescent="0.35">
      <c r="C79" s="26" t="str">
        <f ca="1">INDEX('Version control'!$H$38:$H$61,MATCH($A$1,'Version control'!$F$38:$F$61,0),1)&amp;"-C: Initial unit rate 3"</f>
        <v>Section 111-C: Initial unit rate 3</v>
      </c>
      <c r="D79" s="26"/>
      <c r="E79" s="26"/>
      <c r="F79" s="26"/>
      <c r="G79" s="26"/>
      <c r="H79" s="26"/>
      <c r="I79" s="26"/>
      <c r="J79" s="80"/>
      <c r="K79" s="80"/>
      <c r="L79" s="80"/>
      <c r="M79" s="80"/>
      <c r="N79" s="80"/>
      <c r="O79" s="80"/>
      <c r="P79" s="80"/>
      <c r="Q79" s="80"/>
      <c r="R79" s="80"/>
      <c r="S79" s="80"/>
      <c r="T79" s="80"/>
      <c r="U79" s="80"/>
      <c r="V79" s="80"/>
      <c r="W79" s="80"/>
      <c r="X79" s="80"/>
      <c r="Y79" s="80"/>
      <c r="Z79" s="26"/>
      <c r="AA79" s="26"/>
    </row>
    <row r="80" spans="3:27" x14ac:dyDescent="0.35">
      <c r="D80" s="27"/>
      <c r="E80" s="27"/>
      <c r="J80" s="79"/>
      <c r="K80" s="79"/>
      <c r="L80" s="79"/>
      <c r="M80" s="79"/>
      <c r="N80" s="79"/>
      <c r="O80" s="79"/>
      <c r="P80" s="79"/>
      <c r="Q80" s="79"/>
      <c r="R80" s="79"/>
      <c r="S80" s="79"/>
      <c r="T80" s="79"/>
      <c r="U80" s="79"/>
      <c r="V80" s="79"/>
      <c r="W80" s="79"/>
      <c r="X80" s="79"/>
      <c r="Y80" s="79"/>
    </row>
    <row r="81" spans="4:27" x14ac:dyDescent="0.35">
      <c r="D81"/>
      <c r="E81" s="27" t="s">
        <v>620</v>
      </c>
      <c r="J81" s="79"/>
      <c r="K81" s="79"/>
      <c r="L81" s="79"/>
      <c r="M81" s="79"/>
      <c r="N81" s="79"/>
      <c r="O81" s="79"/>
      <c r="P81" s="79"/>
      <c r="Q81" s="79"/>
      <c r="R81" s="79"/>
      <c r="S81" s="79"/>
      <c r="T81" s="79"/>
      <c r="U81" s="79"/>
      <c r="V81" s="79"/>
      <c r="W81" s="79"/>
      <c r="X81" s="79"/>
      <c r="Y81" s="79"/>
    </row>
    <row r="82" spans="4:27" x14ac:dyDescent="0.35">
      <c r="D82"/>
      <c r="F82" s="19" t="s">
        <v>189</v>
      </c>
      <c r="G82" s="19" t="s">
        <v>269</v>
      </c>
      <c r="H82" s="255"/>
      <c r="I82" s="255"/>
      <c r="J82" s="267">
        <f>'Initial unit rates'!J210</f>
        <v>0</v>
      </c>
      <c r="K82" s="267">
        <f>'Initial unit rates'!K210</f>
        <v>0</v>
      </c>
      <c r="L82" s="267">
        <f>'Initial unit rates'!L210</f>
        <v>0</v>
      </c>
      <c r="M82" s="267">
        <f>'Initial unit rates'!M210</f>
        <v>0</v>
      </c>
      <c r="N82" s="267">
        <f>'Initial unit rates'!N210</f>
        <v>0</v>
      </c>
      <c r="O82" s="267">
        <f>'Initial unit rates'!O210</f>
        <v>0</v>
      </c>
      <c r="P82" s="267">
        <f>'Initial unit rates'!P210</f>
        <v>0</v>
      </c>
      <c r="Q82" s="267">
        <f>'Initial unit rates'!Q210</f>
        <v>0</v>
      </c>
      <c r="R82" s="267">
        <f>'Initial unit rates'!R210</f>
        <v>0</v>
      </c>
      <c r="S82" s="267">
        <f>'Initial unit rates'!S210</f>
        <v>0</v>
      </c>
      <c r="T82" s="267">
        <f>'Initial unit rates'!T210</f>
        <v>0</v>
      </c>
      <c r="U82" s="267">
        <f>'Initial unit rates'!U210</f>
        <v>0</v>
      </c>
      <c r="V82" s="267">
        <f>'Initial unit rates'!V210</f>
        <v>0</v>
      </c>
      <c r="W82" s="267">
        <f>'Initial unit rates'!W210</f>
        <v>0</v>
      </c>
      <c r="X82" s="267">
        <f>'Initial unit rates'!X210</f>
        <v>0</v>
      </c>
      <c r="Y82" s="267">
        <f>'Initial unit rates'!Y210</f>
        <v>0</v>
      </c>
      <c r="Z82" s="256"/>
      <c r="AA82" s="256"/>
    </row>
    <row r="83" spans="4:27" x14ac:dyDescent="0.35">
      <c r="D83"/>
      <c r="F83" t="s">
        <v>191</v>
      </c>
      <c r="G83" t="s">
        <v>269</v>
      </c>
      <c r="H83" s="256"/>
      <c r="I83" s="256"/>
      <c r="J83" s="268">
        <f>'Initial unit rates'!J211</f>
        <v>0</v>
      </c>
      <c r="K83" s="268">
        <f>'Initial unit rates'!K211</f>
        <v>0</v>
      </c>
      <c r="L83" s="268">
        <f>'Initial unit rates'!L211</f>
        <v>0</v>
      </c>
      <c r="M83" s="268">
        <f>'Initial unit rates'!M211</f>
        <v>0</v>
      </c>
      <c r="N83" s="268">
        <f>'Initial unit rates'!N211</f>
        <v>0</v>
      </c>
      <c r="O83" s="268">
        <f>'Initial unit rates'!O211</f>
        <v>0</v>
      </c>
      <c r="P83" s="268">
        <f>'Initial unit rates'!P211</f>
        <v>0</v>
      </c>
      <c r="Q83" s="268">
        <f>'Initial unit rates'!Q211</f>
        <v>0</v>
      </c>
      <c r="R83" s="268">
        <f>'Initial unit rates'!R211</f>
        <v>0</v>
      </c>
      <c r="S83" s="268">
        <f>'Initial unit rates'!S211</f>
        <v>0</v>
      </c>
      <c r="T83" s="268">
        <f>'Initial unit rates'!T211</f>
        <v>0</v>
      </c>
      <c r="U83" s="268">
        <f>'Initial unit rates'!U211</f>
        <v>0</v>
      </c>
      <c r="V83" s="268">
        <f>'Initial unit rates'!V211</f>
        <v>0</v>
      </c>
      <c r="W83" s="268">
        <f>'Initial unit rates'!W211</f>
        <v>0</v>
      </c>
      <c r="X83" s="268">
        <f>'Initial unit rates'!X211</f>
        <v>0</v>
      </c>
      <c r="Y83" s="268">
        <f>'Initial unit rates'!Y211</f>
        <v>0</v>
      </c>
      <c r="Z83" s="256"/>
      <c r="AA83" s="256"/>
    </row>
    <row r="84" spans="4:27" x14ac:dyDescent="0.35">
      <c r="D84"/>
      <c r="F84" t="s">
        <v>192</v>
      </c>
      <c r="G84" t="s">
        <v>269</v>
      </c>
      <c r="H84" s="256"/>
      <c r="I84" s="256"/>
      <c r="J84" s="268">
        <f>'Initial unit rates'!J212</f>
        <v>4.416863061610197E-3</v>
      </c>
      <c r="K84" s="268">
        <f>'Initial unit rates'!K212</f>
        <v>4.416863061610197E-3</v>
      </c>
      <c r="L84" s="268">
        <f>'Initial unit rates'!L212</f>
        <v>4.1316018982674218E-3</v>
      </c>
      <c r="M84" s="268">
        <f>'Initial unit rates'!M212</f>
        <v>4.1316018982674218E-3</v>
      </c>
      <c r="N84" s="268">
        <f>'Initial unit rates'!N212</f>
        <v>3.6343254212690091E-3</v>
      </c>
      <c r="O84" s="268">
        <f>'Initial unit rates'!O212</f>
        <v>2.9565298863339475E-3</v>
      </c>
      <c r="P84" s="268">
        <f>'Initial unit rates'!P212</f>
        <v>2.9976017009768507E-3</v>
      </c>
      <c r="Q84" s="268">
        <f>'Initial unit rates'!Q212</f>
        <v>3.42342611542212E-3</v>
      </c>
      <c r="R84" s="268">
        <f>'Initial unit rates'!R212</f>
        <v>-3.0657928331126226E-3</v>
      </c>
      <c r="S84" s="268">
        <f>'Initial unit rates'!S212</f>
        <v>-2.9335980962719864E-3</v>
      </c>
      <c r="T84" s="268">
        <f>'Initial unit rates'!T212</f>
        <v>-3.0657928331126226E-3</v>
      </c>
      <c r="U84" s="268">
        <f>'Initial unit rates'!U212</f>
        <v>-3.0657928331126226E-3</v>
      </c>
      <c r="V84" s="268">
        <f>'Initial unit rates'!V212</f>
        <v>-2.9335980962719864E-3</v>
      </c>
      <c r="W84" s="268">
        <f>'Initial unit rates'!W212</f>
        <v>-2.9335980962719864E-3</v>
      </c>
      <c r="X84" s="268">
        <f>'Initial unit rates'!X212</f>
        <v>-2.8885956326666633E-3</v>
      </c>
      <c r="Y84" s="268">
        <f>'Initial unit rates'!Y212</f>
        <v>-2.8885956326666633E-3</v>
      </c>
      <c r="Z84" s="256"/>
      <c r="AA84" s="256"/>
    </row>
    <row r="85" spans="4:27" x14ac:dyDescent="0.35">
      <c r="D85"/>
      <c r="F85" t="s">
        <v>193</v>
      </c>
      <c r="G85" t="s">
        <v>269</v>
      </c>
      <c r="H85" s="256"/>
      <c r="I85" s="256"/>
      <c r="J85" s="268">
        <f>'Initial unit rates'!J213</f>
        <v>1.1428538846698253E-3</v>
      </c>
      <c r="K85" s="268">
        <f>'Initial unit rates'!K213</f>
        <v>1.1428538846698253E-3</v>
      </c>
      <c r="L85" s="268">
        <f>'Initial unit rates'!L213</f>
        <v>1.0690431678501656E-3</v>
      </c>
      <c r="M85" s="268">
        <f>'Initial unit rates'!M213</f>
        <v>1.0690431678501656E-3</v>
      </c>
      <c r="N85" s="268">
        <f>'Initial unit rates'!N213</f>
        <v>9.4037394139572861E-4</v>
      </c>
      <c r="O85" s="268">
        <f>'Initial unit rates'!O213</f>
        <v>7.6499579421133209E-4</v>
      </c>
      <c r="P85" s="268">
        <f>'Initial unit rates'!P213</f>
        <v>7.7562303853843364E-4</v>
      </c>
      <c r="Q85" s="268">
        <f>'Initial unit rates'!Q213</f>
        <v>8.8580419639815145E-4</v>
      </c>
      <c r="R85" s="268">
        <f>'Initial unit rates'!R213</f>
        <v>-7.9326734835160446E-4</v>
      </c>
      <c r="S85" s="268">
        <f>'Initial unit rates'!S213</f>
        <v>-7.5906224250525071E-4</v>
      </c>
      <c r="T85" s="268">
        <f>'Initial unit rates'!T213</f>
        <v>-7.9326734835160446E-4</v>
      </c>
      <c r="U85" s="268">
        <f>'Initial unit rates'!U213</f>
        <v>-7.9326734835160446E-4</v>
      </c>
      <c r="V85" s="268">
        <f>'Initial unit rates'!V213</f>
        <v>-7.5906224250525071E-4</v>
      </c>
      <c r="W85" s="268">
        <f>'Initial unit rates'!W213</f>
        <v>-7.5906224250525071E-4</v>
      </c>
      <c r="X85" s="268">
        <f>'Initial unit rates'!X213</f>
        <v>-7.4741795115330066E-4</v>
      </c>
      <c r="Y85" s="268">
        <f>'Initial unit rates'!Y213</f>
        <v>-7.4741795115330066E-4</v>
      </c>
      <c r="Z85" s="256"/>
      <c r="AA85" s="256"/>
    </row>
    <row r="86" spans="4:27" x14ac:dyDescent="0.35">
      <c r="D86"/>
      <c r="F86" t="s">
        <v>194</v>
      </c>
      <c r="G86" t="s">
        <v>269</v>
      </c>
      <c r="H86" s="256"/>
      <c r="I86" s="256"/>
      <c r="J86" s="268">
        <f>'Initial unit rates'!J214</f>
        <v>4.7466534056469336E-3</v>
      </c>
      <c r="K86" s="268">
        <f>'Initial unit rates'!K214</f>
        <v>4.7466534056469336E-3</v>
      </c>
      <c r="L86" s="268">
        <f>'Initial unit rates'!L214</f>
        <v>4.4400928775996436E-3</v>
      </c>
      <c r="M86" s="268">
        <f>'Initial unit rates'!M214</f>
        <v>4.4400928775996436E-3</v>
      </c>
      <c r="N86" s="268">
        <f>'Initial unit rates'!N214</f>
        <v>3.9056866598456072E-3</v>
      </c>
      <c r="O86" s="268">
        <f>'Initial unit rates'!O214</f>
        <v>3.1772827135709125E-3</v>
      </c>
      <c r="P86" s="268">
        <f>'Initial unit rates'!P214</f>
        <v>3.1491392848784364E-3</v>
      </c>
      <c r="Q86" s="268">
        <f>'Initial unit rates'!Q214</f>
        <v>3.6790403060005853E-3</v>
      </c>
      <c r="R86" s="268">
        <f>'Initial unit rates'!R214</f>
        <v>-3.2947039084786278E-3</v>
      </c>
      <c r="S86" s="268">
        <f>'Initial unit rates'!S214</f>
        <v>-3.1526386940763382E-3</v>
      </c>
      <c r="T86" s="268">
        <f>'Initial unit rates'!T214</f>
        <v>-3.2947039084786278E-3</v>
      </c>
      <c r="U86" s="268">
        <f>'Initial unit rates'!U214</f>
        <v>-3.2947039084786278E-3</v>
      </c>
      <c r="V86" s="268">
        <f>'Initial unit rates'!V214</f>
        <v>-3.1526386940763382E-3</v>
      </c>
      <c r="W86" s="268">
        <f>'Initial unit rates'!W214</f>
        <v>-3.1526386940763382E-3</v>
      </c>
      <c r="X86" s="268">
        <f>'Initial unit rates'!X214</f>
        <v>-3.0346226391566619E-3</v>
      </c>
      <c r="Y86" s="268">
        <f>'Initial unit rates'!Y214</f>
        <v>-3.0346226391566619E-3</v>
      </c>
      <c r="Z86" s="256"/>
      <c r="AA86" s="256"/>
    </row>
    <row r="87" spans="4:27" x14ac:dyDescent="0.35">
      <c r="D87"/>
      <c r="F87" t="s">
        <v>195</v>
      </c>
      <c r="G87" t="s">
        <v>269</v>
      </c>
      <c r="H87" s="256"/>
      <c r="I87" s="256"/>
      <c r="J87" s="268">
        <f>'Initial unit rates'!J215</f>
        <v>3.3173129064133296E-3</v>
      </c>
      <c r="K87" s="268">
        <f>'Initial unit rates'!K215</f>
        <v>3.3173129064133296E-3</v>
      </c>
      <c r="L87" s="268">
        <f>'Initial unit rates'!L215</f>
        <v>3.1030657075177205E-3</v>
      </c>
      <c r="M87" s="268">
        <f>'Initial unit rates'!M215</f>
        <v>3.1030657075177205E-3</v>
      </c>
      <c r="N87" s="268">
        <f>'Initial unit rates'!N215</f>
        <v>2.7295830678722875E-3</v>
      </c>
      <c r="O87" s="268">
        <f>'Initial unit rates'!O215</f>
        <v>2.2205204493156421E-3</v>
      </c>
      <c r="P87" s="268">
        <f>'Initial unit rates'!P215</f>
        <v>2.1544912058115923E-3</v>
      </c>
      <c r="Q87" s="268">
        <f>'Initial unit rates'!Q215</f>
        <v>2.5711858118377196E-3</v>
      </c>
      <c r="R87" s="268">
        <f>'Initial unit rates'!R215</f>
        <v>-2.3025830757737774E-3</v>
      </c>
      <c r="S87" s="268">
        <f>'Initial unit rates'!S215</f>
        <v>-2.2032973835156414E-3</v>
      </c>
      <c r="T87" s="268">
        <f>'Initial unit rates'!T215</f>
        <v>-2.3025830757737774E-3</v>
      </c>
      <c r="U87" s="268">
        <f>'Initial unit rates'!U215</f>
        <v>-2.3025830757737774E-3</v>
      </c>
      <c r="V87" s="268">
        <f>'Initial unit rates'!V215</f>
        <v>-2.2032973835156414E-3</v>
      </c>
      <c r="W87" s="268">
        <f>'Initial unit rates'!W215</f>
        <v>-2.2032973835156414E-3</v>
      </c>
      <c r="X87" s="268">
        <f>'Initial unit rates'!X215</f>
        <v>-2.0761443675782593E-3</v>
      </c>
      <c r="Y87" s="268">
        <f>'Initial unit rates'!Y215</f>
        <v>-2.0761443675782593E-3</v>
      </c>
      <c r="Z87" s="256"/>
      <c r="AA87" s="256"/>
    </row>
    <row r="88" spans="4:27" x14ac:dyDescent="0.35">
      <c r="D88"/>
      <c r="F88" t="s">
        <v>196</v>
      </c>
      <c r="G88" t="s">
        <v>269</v>
      </c>
      <c r="H88" s="256"/>
      <c r="I88" s="256"/>
      <c r="J88" s="268">
        <f>'Initial unit rates'!J216</f>
        <v>0</v>
      </c>
      <c r="K88" s="268">
        <f>'Initial unit rates'!K216</f>
        <v>0</v>
      </c>
      <c r="L88" s="268">
        <f>'Initial unit rates'!L216</f>
        <v>0</v>
      </c>
      <c r="M88" s="268">
        <f>'Initial unit rates'!M216</f>
        <v>0</v>
      </c>
      <c r="N88" s="268">
        <f>'Initial unit rates'!N216</f>
        <v>0</v>
      </c>
      <c r="O88" s="268">
        <f>'Initial unit rates'!O216</f>
        <v>0</v>
      </c>
      <c r="P88" s="268">
        <f>'Initial unit rates'!P216</f>
        <v>0</v>
      </c>
      <c r="Q88" s="268">
        <f>'Initial unit rates'!Q216</f>
        <v>0</v>
      </c>
      <c r="R88" s="268">
        <f>'Initial unit rates'!R216</f>
        <v>0</v>
      </c>
      <c r="S88" s="268">
        <f>'Initial unit rates'!S216</f>
        <v>0</v>
      </c>
      <c r="T88" s="268">
        <f>'Initial unit rates'!T216</f>
        <v>0</v>
      </c>
      <c r="U88" s="268">
        <f>'Initial unit rates'!U216</f>
        <v>0</v>
      </c>
      <c r="V88" s="268">
        <f>'Initial unit rates'!V216</f>
        <v>0</v>
      </c>
      <c r="W88" s="268">
        <f>'Initial unit rates'!W216</f>
        <v>0</v>
      </c>
      <c r="X88" s="268">
        <f>'Initial unit rates'!X216</f>
        <v>0</v>
      </c>
      <c r="Y88" s="268">
        <f>'Initial unit rates'!Y216</f>
        <v>0</v>
      </c>
      <c r="Z88" s="256"/>
      <c r="AA88" s="256"/>
    </row>
    <row r="89" spans="4:27" x14ac:dyDescent="0.35">
      <c r="D89"/>
      <c r="F89" t="s">
        <v>197</v>
      </c>
      <c r="G89" t="s">
        <v>269</v>
      </c>
      <c r="H89" s="256"/>
      <c r="I89" s="256"/>
      <c r="J89" s="268">
        <f>'Initial unit rates'!J217</f>
        <v>1.2511415191146624E-2</v>
      </c>
      <c r="K89" s="268">
        <f>'Initial unit rates'!K217</f>
        <v>1.2511415191146624E-2</v>
      </c>
      <c r="L89" s="268">
        <f>'Initial unit rates'!L217</f>
        <v>1.1703370929255958E-2</v>
      </c>
      <c r="M89" s="268">
        <f>'Initial unit rates'!M217</f>
        <v>1.1703370929255958E-2</v>
      </c>
      <c r="N89" s="268">
        <f>'Initial unit rates'!N217</f>
        <v>1.0294762063250121E-2</v>
      </c>
      <c r="O89" s="268">
        <f>'Initial unit rates'!O217</f>
        <v>8.3748063766035039E-3</v>
      </c>
      <c r="P89" s="268">
        <f>'Initial unit rates'!P217</f>
        <v>7.9808859930486642E-3</v>
      </c>
      <c r="Q89" s="268">
        <f>'Initial unit rates'!Q217</f>
        <v>9.6973587156323864E-3</v>
      </c>
      <c r="R89" s="268">
        <f>'Initial unit rates'!R217</f>
        <v>-8.6843097669254601E-3</v>
      </c>
      <c r="S89" s="268">
        <f>'Initial unit rates'!S217</f>
        <v>-8.3098487035809659E-3</v>
      </c>
      <c r="T89" s="268">
        <f>'Initial unit rates'!T217</f>
        <v>-8.6843097669254601E-3</v>
      </c>
      <c r="U89" s="268">
        <f>'Initial unit rates'!U217</f>
        <v>-8.6843097669254601E-3</v>
      </c>
      <c r="V89" s="268">
        <f>'Initial unit rates'!V217</f>
        <v>-8.3098487035809659E-3</v>
      </c>
      <c r="W89" s="268">
        <f>'Initial unit rates'!W217</f>
        <v>-8.3098487035809659E-3</v>
      </c>
      <c r="X89" s="268">
        <f>'Initial unit rates'!X217</f>
        <v>0</v>
      </c>
      <c r="Y89" s="268">
        <f>'Initial unit rates'!Y217</f>
        <v>0</v>
      </c>
      <c r="Z89" s="256"/>
      <c r="AA89" s="256"/>
    </row>
    <row r="90" spans="4:27" x14ac:dyDescent="0.35">
      <c r="D90"/>
      <c r="F90" t="s">
        <v>198</v>
      </c>
      <c r="G90" t="s">
        <v>269</v>
      </c>
      <c r="H90" s="256"/>
      <c r="I90" s="256"/>
      <c r="J90" s="268">
        <f>'Initial unit rates'!J218</f>
        <v>4.22096589715968E-3</v>
      </c>
      <c r="K90" s="268">
        <f>'Initial unit rates'!K218</f>
        <v>4.22096589715968E-3</v>
      </c>
      <c r="L90" s="268">
        <f>'Initial unit rates'!L218</f>
        <v>3.9483566662511273E-3</v>
      </c>
      <c r="M90" s="268">
        <f>'Initial unit rates'!M218</f>
        <v>3.9483566662511273E-3</v>
      </c>
      <c r="N90" s="268">
        <f>'Initial unit rates'!N218</f>
        <v>3.4731354466680125E-3</v>
      </c>
      <c r="O90" s="268">
        <f>'Initial unit rates'!O218</f>
        <v>2.8254015689586544E-3</v>
      </c>
      <c r="P90" s="268">
        <f>'Initial unit rates'!P218</f>
        <v>0</v>
      </c>
      <c r="Q90" s="268">
        <f>'Initial unit rates'!Q218</f>
        <v>3.2715899685091666E-3</v>
      </c>
      <c r="R90" s="268">
        <f>'Initial unit rates'!R218</f>
        <v>-2.9298184742923305E-3</v>
      </c>
      <c r="S90" s="268">
        <f>'Initial unit rates'!S218</f>
        <v>0</v>
      </c>
      <c r="T90" s="268">
        <f>'Initial unit rates'!T218</f>
        <v>-2.9298184742923305E-3</v>
      </c>
      <c r="U90" s="268">
        <f>'Initial unit rates'!U218</f>
        <v>-2.9298184742923305E-3</v>
      </c>
      <c r="V90" s="268">
        <f>'Initial unit rates'!V218</f>
        <v>0</v>
      </c>
      <c r="W90" s="268">
        <f>'Initial unit rates'!W218</f>
        <v>0</v>
      </c>
      <c r="X90" s="268">
        <f>'Initial unit rates'!X218</f>
        <v>0</v>
      </c>
      <c r="Y90" s="268">
        <f>'Initial unit rates'!Y218</f>
        <v>0</v>
      </c>
      <c r="Z90" s="256"/>
      <c r="AA90" s="256"/>
    </row>
    <row r="91" spans="4:27" x14ac:dyDescent="0.35">
      <c r="D91"/>
      <c r="F91" t="s">
        <v>199</v>
      </c>
      <c r="G91" t="s">
        <v>269</v>
      </c>
      <c r="H91" s="256"/>
      <c r="I91" s="256"/>
      <c r="J91" s="268">
        <f>'Initial unit rates'!J219</f>
        <v>8.3328908696360577E-4</v>
      </c>
      <c r="K91" s="268">
        <f>'Initial unit rates'!K219</f>
        <v>8.3328908696360577E-4</v>
      </c>
      <c r="L91" s="268">
        <f>'Initial unit rates'!L219</f>
        <v>7.7947147681079734E-4</v>
      </c>
      <c r="M91" s="268">
        <f>'Initial unit rates'!M219</f>
        <v>7.7947147681079734E-4</v>
      </c>
      <c r="N91" s="268">
        <f>'Initial unit rates'!N219</f>
        <v>6.8565487989429204E-4</v>
      </c>
      <c r="O91" s="268">
        <f>'Initial unit rates'!O219</f>
        <v>0</v>
      </c>
      <c r="P91" s="268">
        <f>'Initial unit rates'!P219</f>
        <v>0</v>
      </c>
      <c r="Q91" s="268">
        <f>'Initial unit rates'!Q219</f>
        <v>6.4586644009911626E-4</v>
      </c>
      <c r="R91" s="268">
        <f>'Initial unit rates'!R219</f>
        <v>0</v>
      </c>
      <c r="S91" s="268">
        <f>'Initial unit rates'!S219</f>
        <v>0</v>
      </c>
      <c r="T91" s="268">
        <f>'Initial unit rates'!T219</f>
        <v>0</v>
      </c>
      <c r="U91" s="268">
        <f>'Initial unit rates'!U219</f>
        <v>0</v>
      </c>
      <c r="V91" s="268">
        <f>'Initial unit rates'!V219</f>
        <v>0</v>
      </c>
      <c r="W91" s="268">
        <f>'Initial unit rates'!W219</f>
        <v>0</v>
      </c>
      <c r="X91" s="268">
        <f>'Initial unit rates'!X219</f>
        <v>0</v>
      </c>
      <c r="Y91" s="268">
        <f>'Initial unit rates'!Y219</f>
        <v>0</v>
      </c>
      <c r="Z91" s="256"/>
      <c r="AA91" s="256"/>
    </row>
    <row r="92" spans="4:27" x14ac:dyDescent="0.35">
      <c r="D92"/>
      <c r="F92" s="19" t="s">
        <v>375</v>
      </c>
      <c r="G92" s="19" t="s">
        <v>269</v>
      </c>
      <c r="H92" s="255"/>
      <c r="I92" s="255"/>
      <c r="J92" s="269"/>
      <c r="K92" s="269"/>
      <c r="L92" s="269"/>
      <c r="M92" s="269"/>
      <c r="N92" s="269"/>
      <c r="O92" s="269"/>
      <c r="P92" s="269"/>
      <c r="Q92" s="269"/>
      <c r="R92" s="269"/>
      <c r="S92" s="269"/>
      <c r="T92" s="269"/>
      <c r="U92" s="269"/>
      <c r="V92" s="269"/>
      <c r="W92" s="269"/>
      <c r="X92" s="269"/>
      <c r="Y92" s="269"/>
      <c r="Z92" s="256"/>
      <c r="AA92" s="256"/>
    </row>
    <row r="93" spans="4:27" x14ac:dyDescent="0.35">
      <c r="D93"/>
      <c r="F93" s="28" t="s">
        <v>376</v>
      </c>
      <c r="G93" s="28" t="s">
        <v>269</v>
      </c>
      <c r="H93" s="258"/>
      <c r="I93" s="258"/>
      <c r="J93" s="259"/>
      <c r="K93" s="259"/>
      <c r="L93" s="259"/>
      <c r="M93" s="259"/>
      <c r="N93" s="259"/>
      <c r="O93" s="259"/>
      <c r="P93" s="259"/>
      <c r="Q93" s="259"/>
      <c r="R93" s="259"/>
      <c r="S93" s="259"/>
      <c r="T93" s="259"/>
      <c r="U93" s="259"/>
      <c r="V93" s="259"/>
      <c r="W93" s="259"/>
      <c r="X93" s="259"/>
      <c r="Y93" s="259"/>
      <c r="Z93" s="256"/>
      <c r="AA93" s="256"/>
    </row>
    <row r="94" spans="4:27" x14ac:dyDescent="0.35">
      <c r="D94"/>
      <c r="J94" s="79"/>
      <c r="K94" s="79"/>
      <c r="L94" s="79"/>
      <c r="M94" s="79"/>
      <c r="N94" s="79"/>
      <c r="O94" s="79"/>
      <c r="P94" s="79"/>
      <c r="Q94" s="79"/>
      <c r="R94" s="79"/>
      <c r="S94" s="79"/>
      <c r="T94" s="79"/>
      <c r="U94" s="79"/>
      <c r="V94" s="79"/>
      <c r="W94" s="79"/>
      <c r="X94" s="79"/>
      <c r="Y94" s="79"/>
    </row>
    <row r="95" spans="4:27" x14ac:dyDescent="0.35">
      <c r="D95"/>
      <c r="E95" s="27" t="s">
        <v>621</v>
      </c>
      <c r="J95" s="79"/>
      <c r="K95" s="79"/>
      <c r="L95" s="79"/>
      <c r="M95" s="79"/>
      <c r="N95" s="79"/>
      <c r="O95" s="79"/>
      <c r="P95" s="79"/>
      <c r="Q95" s="79"/>
      <c r="R95" s="79"/>
      <c r="S95" s="79"/>
      <c r="T95" s="79"/>
      <c r="U95" s="79"/>
      <c r="V95" s="79"/>
      <c r="W95" s="79"/>
      <c r="X95" s="79"/>
      <c r="Y95" s="79"/>
    </row>
    <row r="96" spans="4:27" x14ac:dyDescent="0.35">
      <c r="D96"/>
      <c r="F96" s="19" t="s">
        <v>189</v>
      </c>
      <c r="G96" s="19" t="s">
        <v>269</v>
      </c>
      <c r="H96" s="255"/>
      <c r="I96" s="255"/>
      <c r="J96" s="267">
        <f>'Initial unit rates'!J222</f>
        <v>0</v>
      </c>
      <c r="K96" s="267">
        <f>'Initial unit rates'!K222</f>
        <v>0</v>
      </c>
      <c r="L96" s="267">
        <f>'Initial unit rates'!L222</f>
        <v>0</v>
      </c>
      <c r="M96" s="267">
        <f>'Initial unit rates'!M222</f>
        <v>0</v>
      </c>
      <c r="N96" s="267">
        <f>'Initial unit rates'!N222</f>
        <v>0</v>
      </c>
      <c r="O96" s="267">
        <f>'Initial unit rates'!O222</f>
        <v>0</v>
      </c>
      <c r="P96" s="267">
        <f>'Initial unit rates'!P222</f>
        <v>0</v>
      </c>
      <c r="Q96" s="267">
        <f>'Initial unit rates'!Q222</f>
        <v>0</v>
      </c>
      <c r="R96" s="267">
        <f>'Initial unit rates'!R222</f>
        <v>0</v>
      </c>
      <c r="S96" s="267">
        <f>'Initial unit rates'!S222</f>
        <v>0</v>
      </c>
      <c r="T96" s="267">
        <f>'Initial unit rates'!T222</f>
        <v>0</v>
      </c>
      <c r="U96" s="267">
        <f>'Initial unit rates'!U222</f>
        <v>0</v>
      </c>
      <c r="V96" s="267">
        <f>'Initial unit rates'!V222</f>
        <v>0</v>
      </c>
      <c r="W96" s="267">
        <f>'Initial unit rates'!W222</f>
        <v>0</v>
      </c>
      <c r="X96" s="267">
        <f>'Initial unit rates'!X222</f>
        <v>0</v>
      </c>
      <c r="Y96" s="267">
        <f>'Initial unit rates'!Y222</f>
        <v>0</v>
      </c>
      <c r="Z96" s="256"/>
      <c r="AA96" s="256"/>
    </row>
    <row r="97" spans="3:42" x14ac:dyDescent="0.35">
      <c r="D97"/>
      <c r="F97" t="s">
        <v>191</v>
      </c>
      <c r="G97" t="s">
        <v>269</v>
      </c>
      <c r="H97" s="256"/>
      <c r="I97" s="256"/>
      <c r="J97" s="268">
        <f>'Initial unit rates'!J223</f>
        <v>0</v>
      </c>
      <c r="K97" s="268">
        <f>'Initial unit rates'!K223</f>
        <v>0</v>
      </c>
      <c r="L97" s="268">
        <f>'Initial unit rates'!L223</f>
        <v>0</v>
      </c>
      <c r="M97" s="268">
        <f>'Initial unit rates'!M223</f>
        <v>0</v>
      </c>
      <c r="N97" s="268">
        <f>'Initial unit rates'!N223</f>
        <v>0</v>
      </c>
      <c r="O97" s="268">
        <f>'Initial unit rates'!O223</f>
        <v>0</v>
      </c>
      <c r="P97" s="268">
        <f>'Initial unit rates'!P223</f>
        <v>0</v>
      </c>
      <c r="Q97" s="268">
        <f>'Initial unit rates'!Q223</f>
        <v>0</v>
      </c>
      <c r="R97" s="268">
        <f>'Initial unit rates'!R223</f>
        <v>0</v>
      </c>
      <c r="S97" s="268">
        <f>'Initial unit rates'!S223</f>
        <v>0</v>
      </c>
      <c r="T97" s="268">
        <f>'Initial unit rates'!T223</f>
        <v>0</v>
      </c>
      <c r="U97" s="268">
        <f>'Initial unit rates'!U223</f>
        <v>0</v>
      </c>
      <c r="V97" s="268">
        <f>'Initial unit rates'!V223</f>
        <v>0</v>
      </c>
      <c r="W97" s="268">
        <f>'Initial unit rates'!W223</f>
        <v>0</v>
      </c>
      <c r="X97" s="268">
        <f>'Initial unit rates'!X223</f>
        <v>0</v>
      </c>
      <c r="Y97" s="268">
        <f>'Initial unit rates'!Y223</f>
        <v>0</v>
      </c>
      <c r="Z97" s="256"/>
      <c r="AA97" s="256"/>
    </row>
    <row r="98" spans="3:42" x14ac:dyDescent="0.35">
      <c r="D98"/>
      <c r="F98" t="s">
        <v>192</v>
      </c>
      <c r="G98" t="s">
        <v>269</v>
      </c>
      <c r="H98" s="256"/>
      <c r="I98" s="256"/>
      <c r="J98" s="268">
        <f>'Initial unit rates'!J224</f>
        <v>2.9423573712730518E-3</v>
      </c>
      <c r="K98" s="268">
        <f>'Initial unit rates'!K224</f>
        <v>2.9423573712730518E-3</v>
      </c>
      <c r="L98" s="268">
        <f>'Initial unit rates'!L224</f>
        <v>2.7523265111373168E-3</v>
      </c>
      <c r="M98" s="268">
        <f>'Initial unit rates'!M224</f>
        <v>2.7523265111373168E-3</v>
      </c>
      <c r="N98" s="268">
        <f>'Initial unit rates'!N224</f>
        <v>2.4210585756710159E-3</v>
      </c>
      <c r="O98" s="268">
        <f>'Initial unit rates'!O224</f>
        <v>1.9695352523047042E-3</v>
      </c>
      <c r="P98" s="268">
        <f>'Initial unit rates'!P224</f>
        <v>1.996895837154272E-3</v>
      </c>
      <c r="Q98" s="268">
        <f>'Initial unit rates'!Q224</f>
        <v>2.2805649451239237E-3</v>
      </c>
      <c r="R98" s="268">
        <f>'Initial unit rates'!R224</f>
        <v>-2.0423223485711776E-3</v>
      </c>
      <c r="S98" s="268">
        <f>'Initial unit rates'!S224</f>
        <v>-1.9542589078529703E-3</v>
      </c>
      <c r="T98" s="268">
        <f>'Initial unit rates'!T224</f>
        <v>-2.0423223485711776E-3</v>
      </c>
      <c r="U98" s="268">
        <f>'Initial unit rates'!U224</f>
        <v>-2.0423223485711776E-3</v>
      </c>
      <c r="V98" s="268">
        <f>'Initial unit rates'!V224</f>
        <v>-1.9542589078529703E-3</v>
      </c>
      <c r="W98" s="268">
        <f>'Initial unit rates'!W224</f>
        <v>-1.9542589078529703E-3</v>
      </c>
      <c r="X98" s="268">
        <f>'Initial unit rates'!X224</f>
        <v>-1.9242798642042191E-3</v>
      </c>
      <c r="Y98" s="268">
        <f>'Initial unit rates'!Y224</f>
        <v>-1.9242798642042191E-3</v>
      </c>
      <c r="Z98" s="256"/>
      <c r="AA98" s="256"/>
    </row>
    <row r="99" spans="3:42" x14ac:dyDescent="0.35">
      <c r="D99"/>
      <c r="F99" t="s">
        <v>193</v>
      </c>
      <c r="G99" t="s">
        <v>269</v>
      </c>
      <c r="H99" s="256"/>
      <c r="I99" s="256"/>
      <c r="J99" s="268">
        <f>'Initial unit rates'!J225</f>
        <v>7.6132868620572844E-4</v>
      </c>
      <c r="K99" s="268">
        <f>'Initial unit rates'!K225</f>
        <v>7.6132868620572844E-4</v>
      </c>
      <c r="L99" s="268">
        <f>'Initial unit rates'!L225</f>
        <v>7.1215860696987828E-4</v>
      </c>
      <c r="M99" s="268">
        <f>'Initial unit rates'!M225</f>
        <v>7.1215860696987828E-4</v>
      </c>
      <c r="N99" s="268">
        <f>'Initial unit rates'!N225</f>
        <v>6.2644373611395535E-4</v>
      </c>
      <c r="O99" s="268">
        <f>'Initial unit rates'!O225</f>
        <v>5.0961304045274555E-4</v>
      </c>
      <c r="P99" s="268">
        <f>'Initial unit rates'!P225</f>
        <v>5.1669253335211748E-4</v>
      </c>
      <c r="Q99" s="268">
        <f>'Initial unit rates'!Q225</f>
        <v>5.9009130924392739E-4</v>
      </c>
      <c r="R99" s="268">
        <f>'Initial unit rates'!R225</f>
        <v>-5.2844654616973066E-4</v>
      </c>
      <c r="S99" s="268">
        <f>'Initial unit rates'!S225</f>
        <v>-5.0566031894956783E-4</v>
      </c>
      <c r="T99" s="268">
        <f>'Initial unit rates'!T225</f>
        <v>-5.2844654616973066E-4</v>
      </c>
      <c r="U99" s="268">
        <f>'Initial unit rates'!U225</f>
        <v>-5.2844654616973066E-4</v>
      </c>
      <c r="V99" s="268">
        <f>'Initial unit rates'!V225</f>
        <v>-5.0566031894956783E-4</v>
      </c>
      <c r="W99" s="268">
        <f>'Initial unit rates'!W225</f>
        <v>-5.0566031894956783E-4</v>
      </c>
      <c r="X99" s="268">
        <f>'Initial unit rates'!X225</f>
        <v>-4.9790330542781027E-4</v>
      </c>
      <c r="Y99" s="268">
        <f>'Initial unit rates'!Y225</f>
        <v>-4.9790330542781027E-4</v>
      </c>
      <c r="Z99" s="256"/>
      <c r="AA99" s="256"/>
    </row>
    <row r="100" spans="3:42" x14ac:dyDescent="0.35">
      <c r="D100"/>
      <c r="F100" t="s">
        <v>194</v>
      </c>
      <c r="G100" t="s">
        <v>269</v>
      </c>
      <c r="H100" s="256"/>
      <c r="I100" s="256"/>
      <c r="J100" s="268">
        <f>'Initial unit rates'!J226</f>
        <v>3.201657820949692E-3</v>
      </c>
      <c r="K100" s="268">
        <f>'Initial unit rates'!K226</f>
        <v>3.201657820949692E-3</v>
      </c>
      <c r="L100" s="268">
        <f>'Initial unit rates'!L226</f>
        <v>2.994880155015749E-3</v>
      </c>
      <c r="M100" s="268">
        <f>'Initial unit rates'!M226</f>
        <v>2.994880155015749E-3</v>
      </c>
      <c r="N100" s="268">
        <f>'Initial unit rates'!N226</f>
        <v>2.6344186465768024E-3</v>
      </c>
      <c r="O100" s="268">
        <f>'Initial unit rates'!O226</f>
        <v>2.1431040313941198E-3</v>
      </c>
      <c r="P100" s="268">
        <f>'Initial unit rates'!P226</f>
        <v>2.1728758161965473E-3</v>
      </c>
      <c r="Q100" s="268">
        <f>'Initial unit rates'!Q226</f>
        <v>2.4815437662422976E-3</v>
      </c>
      <c r="R100" s="268">
        <f>'Initial unit rates'!R226</f>
        <v>-2.2223056193116822E-3</v>
      </c>
      <c r="S100" s="268">
        <f>'Initial unit rates'!S226</f>
        <v>-2.1264814320569583E-3</v>
      </c>
      <c r="T100" s="268">
        <f>'Initial unit rates'!T226</f>
        <v>-2.2223056193116822E-3</v>
      </c>
      <c r="U100" s="268">
        <f>'Initial unit rates'!U226</f>
        <v>-2.2223056193116822E-3</v>
      </c>
      <c r="V100" s="268">
        <f>'Initial unit rates'!V226</f>
        <v>-2.1264814320569583E-3</v>
      </c>
      <c r="W100" s="268">
        <f>'Initial unit rates'!W226</f>
        <v>-2.1264814320569583E-3</v>
      </c>
      <c r="X100" s="268">
        <f>'Initial unit rates'!X226</f>
        <v>-2.093860432140457E-3</v>
      </c>
      <c r="Y100" s="268">
        <f>'Initial unit rates'!Y226</f>
        <v>-2.093860432140457E-3</v>
      </c>
      <c r="Z100" s="256"/>
      <c r="AA100" s="256"/>
    </row>
    <row r="101" spans="3:42" x14ac:dyDescent="0.35">
      <c r="D101"/>
      <c r="F101" t="s">
        <v>195</v>
      </c>
      <c r="G101" t="s">
        <v>269</v>
      </c>
      <c r="H101" s="256"/>
      <c r="I101" s="256"/>
      <c r="J101" s="268">
        <f>'Initial unit rates'!J227</f>
        <v>2.2651477960569039E-3</v>
      </c>
      <c r="K101" s="268">
        <f>'Initial unit rates'!K227</f>
        <v>2.2651477960569039E-3</v>
      </c>
      <c r="L101" s="268">
        <f>'Initial unit rates'!L227</f>
        <v>2.1188542192732587E-3</v>
      </c>
      <c r="M101" s="268">
        <f>'Initial unit rates'!M227</f>
        <v>2.1188542192732587E-3</v>
      </c>
      <c r="N101" s="268">
        <f>'Initial unit rates'!N227</f>
        <v>1.8638305293395131E-3</v>
      </c>
      <c r="O101" s="268">
        <f>'Initial unit rates'!O227</f>
        <v>1.5162292927334456E-3</v>
      </c>
      <c r="P101" s="268">
        <f>'Initial unit rates'!P227</f>
        <v>1.5372925969655933E-3</v>
      </c>
      <c r="Q101" s="268">
        <f>'Initial unit rates'!Q227</f>
        <v>1.7556727505799296E-3</v>
      </c>
      <c r="R101" s="268">
        <f>'Initial unit rates'!R227</f>
        <v>-1.5722637949659357E-3</v>
      </c>
      <c r="S101" s="268">
        <f>'Initial unit rates'!S227</f>
        <v>-1.5044689340820831E-3</v>
      </c>
      <c r="T101" s="268">
        <f>'Initial unit rates'!T227</f>
        <v>-1.5722637949659357E-3</v>
      </c>
      <c r="U101" s="268">
        <f>'Initial unit rates'!U227</f>
        <v>-1.5722637949659357E-3</v>
      </c>
      <c r="V101" s="268">
        <f>'Initial unit rates'!V227</f>
        <v>-1.5044689340820831E-3</v>
      </c>
      <c r="W101" s="268">
        <f>'Initial unit rates'!W227</f>
        <v>-1.5044689340820831E-3</v>
      </c>
      <c r="X101" s="268">
        <f>'Initial unit rates'!X227</f>
        <v>-1.4813898325046013E-3</v>
      </c>
      <c r="Y101" s="268">
        <f>'Initial unit rates'!Y227</f>
        <v>-1.4813898325046013E-3</v>
      </c>
      <c r="Z101" s="256"/>
      <c r="AA101" s="256"/>
    </row>
    <row r="102" spans="3:42" x14ac:dyDescent="0.35">
      <c r="D102"/>
      <c r="F102" t="s">
        <v>196</v>
      </c>
      <c r="G102" t="s">
        <v>269</v>
      </c>
      <c r="H102" s="256"/>
      <c r="I102" s="256"/>
      <c r="J102" s="268">
        <f>'Initial unit rates'!J228</f>
        <v>0</v>
      </c>
      <c r="K102" s="268">
        <f>'Initial unit rates'!K228</f>
        <v>0</v>
      </c>
      <c r="L102" s="268">
        <f>'Initial unit rates'!L228</f>
        <v>0</v>
      </c>
      <c r="M102" s="268">
        <f>'Initial unit rates'!M228</f>
        <v>0</v>
      </c>
      <c r="N102" s="268">
        <f>'Initial unit rates'!N228</f>
        <v>0</v>
      </c>
      <c r="O102" s="268">
        <f>'Initial unit rates'!O228</f>
        <v>0</v>
      </c>
      <c r="P102" s="268">
        <f>'Initial unit rates'!P228</f>
        <v>0</v>
      </c>
      <c r="Q102" s="268">
        <f>'Initial unit rates'!Q228</f>
        <v>0</v>
      </c>
      <c r="R102" s="268">
        <f>'Initial unit rates'!R228</f>
        <v>0</v>
      </c>
      <c r="S102" s="268">
        <f>'Initial unit rates'!S228</f>
        <v>0</v>
      </c>
      <c r="T102" s="268">
        <f>'Initial unit rates'!T228</f>
        <v>0</v>
      </c>
      <c r="U102" s="268">
        <f>'Initial unit rates'!U228</f>
        <v>0</v>
      </c>
      <c r="V102" s="268">
        <f>'Initial unit rates'!V228</f>
        <v>0</v>
      </c>
      <c r="W102" s="268">
        <f>'Initial unit rates'!W228</f>
        <v>0</v>
      </c>
      <c r="X102" s="268">
        <f>'Initial unit rates'!X228</f>
        <v>0</v>
      </c>
      <c r="Y102" s="268">
        <f>'Initial unit rates'!Y228</f>
        <v>0</v>
      </c>
      <c r="Z102" s="256"/>
      <c r="AA102" s="256"/>
    </row>
    <row r="103" spans="3:42" x14ac:dyDescent="0.35">
      <c r="D103"/>
      <c r="F103" t="s">
        <v>197</v>
      </c>
      <c r="G103" t="s">
        <v>269</v>
      </c>
      <c r="H103" s="256"/>
      <c r="I103" s="256"/>
      <c r="J103" s="268">
        <f>'Initial unit rates'!J229</f>
        <v>1.2701389782026598E-2</v>
      </c>
      <c r="K103" s="268">
        <f>'Initial unit rates'!K229</f>
        <v>1.2701389782026598E-2</v>
      </c>
      <c r="L103" s="268">
        <f>'Initial unit rates'!L229</f>
        <v>1.188107609451778E-2</v>
      </c>
      <c r="M103" s="268">
        <f>'Initial unit rates'!M229</f>
        <v>1.188107609451778E-2</v>
      </c>
      <c r="N103" s="268">
        <f>'Initial unit rates'!N229</f>
        <v>1.0451078769337579E-2</v>
      </c>
      <c r="O103" s="268">
        <f>'Initial unit rates'!O229</f>
        <v>8.5019702817882761E-3</v>
      </c>
      <c r="P103" s="268">
        <f>'Initial unit rates'!P229</f>
        <v>8.6200787944494036E-3</v>
      </c>
      <c r="Q103" s="268">
        <f>'Initial unit rates'!Q229</f>
        <v>9.8446043890013137E-3</v>
      </c>
      <c r="R103" s="268">
        <f>'Initial unit rates'!R229</f>
        <v>-8.8161732028231073E-3</v>
      </c>
      <c r="S103" s="268">
        <f>'Initial unit rates'!S229</f>
        <v>-8.4360262849032131E-3</v>
      </c>
      <c r="T103" s="268">
        <f>'Initial unit rates'!T229</f>
        <v>-8.8161732028231073E-3</v>
      </c>
      <c r="U103" s="268">
        <f>'Initial unit rates'!U229</f>
        <v>-8.8161732028231073E-3</v>
      </c>
      <c r="V103" s="268">
        <f>'Initial unit rates'!V229</f>
        <v>-8.4360262849032131E-3</v>
      </c>
      <c r="W103" s="268">
        <f>'Initial unit rates'!W229</f>
        <v>-8.4360262849032131E-3</v>
      </c>
      <c r="X103" s="268">
        <f>'Initial unit rates'!X229</f>
        <v>0</v>
      </c>
      <c r="Y103" s="268">
        <f>'Initial unit rates'!Y229</f>
        <v>0</v>
      </c>
      <c r="Z103" s="256"/>
      <c r="AA103" s="256"/>
    </row>
    <row r="104" spans="3:42" x14ac:dyDescent="0.35">
      <c r="D104"/>
      <c r="F104" t="s">
        <v>198</v>
      </c>
      <c r="G104" t="s">
        <v>269</v>
      </c>
      <c r="H104" s="256"/>
      <c r="I104" s="256"/>
      <c r="J104" s="268">
        <f>'Initial unit rates'!J230</f>
        <v>4.8776303621207622E-3</v>
      </c>
      <c r="K104" s="268">
        <f>'Initial unit rates'!K230</f>
        <v>4.8776303621207622E-3</v>
      </c>
      <c r="L104" s="268">
        <f>'Initial unit rates'!L230</f>
        <v>4.5626107447936702E-3</v>
      </c>
      <c r="M104" s="268">
        <f>'Initial unit rates'!M230</f>
        <v>4.5626107447936702E-3</v>
      </c>
      <c r="N104" s="268">
        <f>'Initial unit rates'!N230</f>
        <v>4.0134583692858685E-3</v>
      </c>
      <c r="O104" s="268">
        <f>'Initial unit rates'!O230</f>
        <v>3.2649551817535154E-3</v>
      </c>
      <c r="P104" s="268">
        <f>'Initial unit rates'!P230</f>
        <v>0</v>
      </c>
      <c r="Q104" s="268">
        <f>'Initial unit rates'!Q230</f>
        <v>3.7805580408853852E-3</v>
      </c>
      <c r="R104" s="268">
        <f>'Initial unit rates'!R230</f>
        <v>-3.3856164427499484E-3</v>
      </c>
      <c r="S104" s="268">
        <f>'Initial unit rates'!S230</f>
        <v>0</v>
      </c>
      <c r="T104" s="268">
        <f>'Initial unit rates'!T230</f>
        <v>-3.3856164427499484E-3</v>
      </c>
      <c r="U104" s="268">
        <f>'Initial unit rates'!U230</f>
        <v>-3.3856164427499484E-3</v>
      </c>
      <c r="V104" s="268">
        <f>'Initial unit rates'!V230</f>
        <v>0</v>
      </c>
      <c r="W104" s="268">
        <f>'Initial unit rates'!W230</f>
        <v>0</v>
      </c>
      <c r="X104" s="268">
        <f>'Initial unit rates'!X230</f>
        <v>0</v>
      </c>
      <c r="Y104" s="268">
        <f>'Initial unit rates'!Y230</f>
        <v>0</v>
      </c>
      <c r="Z104" s="256"/>
      <c r="AA104" s="256"/>
    </row>
    <row r="105" spans="3:42" x14ac:dyDescent="0.35">
      <c r="D105"/>
      <c r="F105" t="s">
        <v>199</v>
      </c>
      <c r="G105" t="s">
        <v>269</v>
      </c>
      <c r="H105" s="256"/>
      <c r="I105" s="256"/>
      <c r="J105" s="268">
        <f>'Initial unit rates'!J231</f>
        <v>1.2603672730970291E-2</v>
      </c>
      <c r="K105" s="268">
        <f>'Initial unit rates'!K231</f>
        <v>1.2603672730970291E-2</v>
      </c>
      <c r="L105" s="268">
        <f>'Initial unit rates'!L231</f>
        <v>1.17896700563396E-2</v>
      </c>
      <c r="M105" s="268">
        <f>'Initial unit rates'!M231</f>
        <v>1.17896700563396E-2</v>
      </c>
      <c r="N105" s="268">
        <f>'Initial unit rates'!N231</f>
        <v>1.0370674292723373E-2</v>
      </c>
      <c r="O105" s="268">
        <f>'Initial unit rates'!O231</f>
        <v>0</v>
      </c>
      <c r="P105" s="268">
        <f>'Initial unit rates'!P231</f>
        <v>0</v>
      </c>
      <c r="Q105" s="268">
        <f>'Initial unit rates'!Q231</f>
        <v>9.7688657709273704E-3</v>
      </c>
      <c r="R105" s="268">
        <f>'Initial unit rates'!R231</f>
        <v>0</v>
      </c>
      <c r="S105" s="268">
        <f>'Initial unit rates'!S231</f>
        <v>0</v>
      </c>
      <c r="T105" s="268">
        <f>'Initial unit rates'!T231</f>
        <v>0</v>
      </c>
      <c r="U105" s="268">
        <f>'Initial unit rates'!U231</f>
        <v>0</v>
      </c>
      <c r="V105" s="268">
        <f>'Initial unit rates'!V231</f>
        <v>0</v>
      </c>
      <c r="W105" s="268">
        <f>'Initial unit rates'!W231</f>
        <v>0</v>
      </c>
      <c r="X105" s="268">
        <f>'Initial unit rates'!X231</f>
        <v>0</v>
      </c>
      <c r="Y105" s="268">
        <f>'Initial unit rates'!Y231</f>
        <v>0</v>
      </c>
      <c r="Z105" s="256"/>
      <c r="AA105" s="256"/>
    </row>
    <row r="106" spans="3:42" x14ac:dyDescent="0.35">
      <c r="D106"/>
      <c r="F106" s="19" t="s">
        <v>375</v>
      </c>
      <c r="G106" s="19" t="s">
        <v>269</v>
      </c>
      <c r="H106" s="255"/>
      <c r="I106" s="255" t="s">
        <v>154</v>
      </c>
      <c r="J106" s="269"/>
      <c r="K106" s="269"/>
      <c r="L106" s="269"/>
      <c r="M106" s="269"/>
      <c r="N106" s="269"/>
      <c r="O106" s="269"/>
      <c r="P106" s="269"/>
      <c r="Q106" s="267">
        <f>'Service model charges'!$Q$44</f>
        <v>2.8663816719090116</v>
      </c>
      <c r="R106" s="269"/>
      <c r="S106" s="269"/>
      <c r="T106" s="269"/>
      <c r="U106" s="269"/>
      <c r="V106" s="269"/>
      <c r="W106" s="269"/>
      <c r="X106" s="269"/>
      <c r="Y106" s="269"/>
      <c r="Z106" s="256"/>
      <c r="AA106" s="256" t="s">
        <v>653</v>
      </c>
    </row>
    <row r="107" spans="3:42" x14ac:dyDescent="0.35">
      <c r="D107"/>
      <c r="F107" s="28" t="s">
        <v>376</v>
      </c>
      <c r="G107" s="28" t="s">
        <v>269</v>
      </c>
      <c r="H107" s="258"/>
      <c r="I107" s="258"/>
      <c r="J107" s="259"/>
      <c r="K107" s="259"/>
      <c r="L107" s="259"/>
      <c r="M107" s="259"/>
      <c r="N107" s="259"/>
      <c r="O107" s="259"/>
      <c r="P107" s="259"/>
      <c r="Q107" s="259"/>
      <c r="R107" s="259"/>
      <c r="S107" s="259"/>
      <c r="T107" s="259"/>
      <c r="U107" s="259"/>
      <c r="V107" s="259"/>
      <c r="W107" s="259"/>
      <c r="X107" s="259"/>
      <c r="Y107" s="259"/>
      <c r="Z107" s="256"/>
      <c r="AA107" s="256"/>
    </row>
    <row r="109" spans="3:42" x14ac:dyDescent="0.35">
      <c r="C109" s="26" t="str">
        <f ca="1">INDEX('Version control'!$H$38:$H$61,MATCH($A$1,'Version control'!$F$38:$F$61,0),1)&amp;"-D: Standing charge factors"</f>
        <v>Section 111-D: Standing charge factors</v>
      </c>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row>
    <row r="110" spans="3:42" x14ac:dyDescent="0.35">
      <c r="D110" s="27"/>
      <c r="E110" s="27"/>
      <c r="J110" s="53"/>
      <c r="K110" s="53"/>
      <c r="L110" s="53"/>
      <c r="M110" s="53"/>
      <c r="N110" s="53"/>
      <c r="O110" s="53"/>
      <c r="P110" s="53"/>
      <c r="Q110" s="53"/>
      <c r="R110" s="53"/>
      <c r="S110" s="53"/>
      <c r="T110" s="53"/>
      <c r="U110" s="53"/>
      <c r="V110" s="53"/>
      <c r="W110" s="53"/>
      <c r="X110" s="53"/>
      <c r="Y110" s="53"/>
    </row>
    <row r="111" spans="3:42" x14ac:dyDescent="0.35">
      <c r="D111"/>
      <c r="E111" s="27" t="s">
        <v>120</v>
      </c>
      <c r="H111" s="13"/>
      <c r="I111" t="s">
        <v>154</v>
      </c>
      <c r="J111" s="53"/>
      <c r="L111" s="53"/>
      <c r="AA111" t="s">
        <v>203</v>
      </c>
      <c r="AP111" s="3"/>
    </row>
    <row r="112" spans="3:42" x14ac:dyDescent="0.35">
      <c r="C112" s="27"/>
      <c r="D112"/>
      <c r="E112"/>
      <c r="F112" s="19" t="s">
        <v>191</v>
      </c>
      <c r="G112" s="19" t="s">
        <v>167</v>
      </c>
      <c r="H112" s="119"/>
      <c r="I112" s="19"/>
      <c r="J112" s="97">
        <f>'Standing charge factors'!J44</f>
        <v>0</v>
      </c>
      <c r="K112" s="97">
        <f>'Standing charge factors'!K44</f>
        <v>0</v>
      </c>
      <c r="L112" s="97">
        <f>'Standing charge factors'!L44</f>
        <v>0</v>
      </c>
      <c r="M112" s="97">
        <f>'Standing charge factors'!M44</f>
        <v>0</v>
      </c>
      <c r="N112" s="97">
        <f>'Standing charge factors'!N44</f>
        <v>0</v>
      </c>
      <c r="O112" s="97">
        <f>'Standing charge factors'!O44</f>
        <v>0</v>
      </c>
      <c r="P112" s="97">
        <f>'Standing charge factors'!P44</f>
        <v>0</v>
      </c>
      <c r="Q112" s="97">
        <f>'Standing charge factors'!Q44</f>
        <v>0</v>
      </c>
      <c r="R112" s="97">
        <f>'Standing charge factors'!R44</f>
        <v>0</v>
      </c>
      <c r="S112" s="97">
        <f>'Standing charge factors'!S44</f>
        <v>0</v>
      </c>
      <c r="T112" s="97">
        <f>'Standing charge factors'!T44</f>
        <v>0</v>
      </c>
      <c r="U112" s="97">
        <f>'Standing charge factors'!U44</f>
        <v>0</v>
      </c>
      <c r="V112" s="97">
        <f>'Standing charge factors'!V44</f>
        <v>0</v>
      </c>
      <c r="W112" s="97">
        <f>'Standing charge factors'!W44</f>
        <v>0</v>
      </c>
      <c r="X112" s="97">
        <f>'Standing charge factors'!X44</f>
        <v>0</v>
      </c>
      <c r="Y112" s="97">
        <f>'Standing charge factors'!Y44</f>
        <v>0</v>
      </c>
      <c r="AP112" s="3"/>
    </row>
    <row r="113" spans="2:42" x14ac:dyDescent="0.35">
      <c r="C113" s="27"/>
      <c r="D113"/>
      <c r="E113"/>
      <c r="F113" t="s">
        <v>192</v>
      </c>
      <c r="G113" t="s">
        <v>167</v>
      </c>
      <c r="H113" s="53"/>
      <c r="J113" s="21">
        <f>'Standing charge factors'!J45</f>
        <v>0</v>
      </c>
      <c r="K113" s="21">
        <f>'Standing charge factors'!K45</f>
        <v>0</v>
      </c>
      <c r="L113" s="21">
        <f>'Standing charge factors'!L45</f>
        <v>0</v>
      </c>
      <c r="M113" s="21">
        <f>'Standing charge factors'!M45</f>
        <v>0</v>
      </c>
      <c r="N113" s="21">
        <f>'Standing charge factors'!N45</f>
        <v>0</v>
      </c>
      <c r="O113" s="21">
        <f>'Standing charge factors'!O45</f>
        <v>0</v>
      </c>
      <c r="P113" s="21">
        <f>'Standing charge factors'!P45</f>
        <v>0</v>
      </c>
      <c r="Q113" s="21">
        <f>'Standing charge factors'!Q45</f>
        <v>0</v>
      </c>
      <c r="R113" s="21">
        <f>'Standing charge factors'!R45</f>
        <v>0</v>
      </c>
      <c r="S113" s="21">
        <f>'Standing charge factors'!S45</f>
        <v>0</v>
      </c>
      <c r="T113" s="21">
        <f>'Standing charge factors'!T45</f>
        <v>0</v>
      </c>
      <c r="U113" s="21">
        <f>'Standing charge factors'!U45</f>
        <v>0</v>
      </c>
      <c r="V113" s="21">
        <f>'Standing charge factors'!V45</f>
        <v>0</v>
      </c>
      <c r="W113" s="21">
        <f>'Standing charge factors'!W45</f>
        <v>0</v>
      </c>
      <c r="X113" s="21">
        <f>'Standing charge factors'!X45</f>
        <v>0</v>
      </c>
      <c r="Y113" s="21">
        <f>'Standing charge factors'!Y45</f>
        <v>0</v>
      </c>
      <c r="AP113" s="3"/>
    </row>
    <row r="114" spans="2:42" x14ac:dyDescent="0.35">
      <c r="C114" s="27"/>
      <c r="D114"/>
      <c r="E114"/>
      <c r="F114" t="s">
        <v>193</v>
      </c>
      <c r="G114" t="s">
        <v>167</v>
      </c>
      <c r="H114" s="53"/>
      <c r="J114" s="21">
        <f>'Standing charge factors'!J46</f>
        <v>0</v>
      </c>
      <c r="K114" s="21">
        <f>'Standing charge factors'!K46</f>
        <v>0</v>
      </c>
      <c r="L114" s="21">
        <f>'Standing charge factors'!L46</f>
        <v>0</v>
      </c>
      <c r="M114" s="21">
        <f>'Standing charge factors'!M46</f>
        <v>0</v>
      </c>
      <c r="N114" s="21">
        <f>'Standing charge factors'!N46</f>
        <v>0</v>
      </c>
      <c r="O114" s="21">
        <f>'Standing charge factors'!O46</f>
        <v>0</v>
      </c>
      <c r="P114" s="21">
        <f>'Standing charge factors'!P46</f>
        <v>0</v>
      </c>
      <c r="Q114" s="21">
        <f>'Standing charge factors'!Q46</f>
        <v>0</v>
      </c>
      <c r="R114" s="21">
        <f>'Standing charge factors'!R46</f>
        <v>0</v>
      </c>
      <c r="S114" s="21">
        <f>'Standing charge factors'!S46</f>
        <v>0</v>
      </c>
      <c r="T114" s="21">
        <f>'Standing charge factors'!T46</f>
        <v>0</v>
      </c>
      <c r="U114" s="21">
        <f>'Standing charge factors'!U46</f>
        <v>0</v>
      </c>
      <c r="V114" s="21">
        <f>'Standing charge factors'!V46</f>
        <v>0</v>
      </c>
      <c r="W114" s="21">
        <f>'Standing charge factors'!W46</f>
        <v>0</v>
      </c>
      <c r="X114" s="21">
        <f>'Standing charge factors'!X46</f>
        <v>0</v>
      </c>
      <c r="Y114" s="21">
        <f>'Standing charge factors'!Y46</f>
        <v>0</v>
      </c>
      <c r="AP114" s="3"/>
    </row>
    <row r="115" spans="2:42" x14ac:dyDescent="0.35">
      <c r="C115" s="27"/>
      <c r="D115"/>
      <c r="E115"/>
      <c r="F115" t="s">
        <v>194</v>
      </c>
      <c r="G115" t="s">
        <v>167</v>
      </c>
      <c r="H115" s="53"/>
      <c r="J115" s="21">
        <f>'Standing charge factors'!J47</f>
        <v>0</v>
      </c>
      <c r="K115" s="21">
        <f>'Standing charge factors'!K47</f>
        <v>0</v>
      </c>
      <c r="L115" s="21">
        <f>'Standing charge factors'!L47</f>
        <v>0</v>
      </c>
      <c r="M115" s="21">
        <f>'Standing charge factors'!M47</f>
        <v>0</v>
      </c>
      <c r="N115" s="21">
        <f>'Standing charge factors'!N47</f>
        <v>0</v>
      </c>
      <c r="O115" s="21">
        <f>'Standing charge factors'!O47</f>
        <v>0</v>
      </c>
      <c r="P115" s="21">
        <f>'Standing charge factors'!P47</f>
        <v>0.2</v>
      </c>
      <c r="Q115" s="21">
        <f>'Standing charge factors'!Q47</f>
        <v>0</v>
      </c>
      <c r="R115" s="21">
        <f>'Standing charge factors'!R47</f>
        <v>0</v>
      </c>
      <c r="S115" s="21">
        <f>'Standing charge factors'!S47</f>
        <v>0</v>
      </c>
      <c r="T115" s="21">
        <f>'Standing charge factors'!T47</f>
        <v>0</v>
      </c>
      <c r="U115" s="21">
        <f>'Standing charge factors'!U47</f>
        <v>0</v>
      </c>
      <c r="V115" s="21">
        <f>'Standing charge factors'!V47</f>
        <v>0</v>
      </c>
      <c r="W115" s="21">
        <f>'Standing charge factors'!W47</f>
        <v>0</v>
      </c>
      <c r="X115" s="21">
        <f>'Standing charge factors'!X47</f>
        <v>0</v>
      </c>
      <c r="Y115" s="21">
        <f>'Standing charge factors'!Y47</f>
        <v>0</v>
      </c>
      <c r="AP115" s="3"/>
    </row>
    <row r="116" spans="2:42" x14ac:dyDescent="0.35">
      <c r="C116" s="27"/>
      <c r="D116"/>
      <c r="E116"/>
      <c r="F116" t="s">
        <v>195</v>
      </c>
      <c r="G116" t="s">
        <v>167</v>
      </c>
      <c r="H116" s="53"/>
      <c r="J116" s="21">
        <f>'Standing charge factors'!J48</f>
        <v>0</v>
      </c>
      <c r="K116" s="21">
        <f>'Standing charge factors'!K48</f>
        <v>0</v>
      </c>
      <c r="L116" s="21">
        <f>'Standing charge factors'!L48</f>
        <v>0</v>
      </c>
      <c r="M116" s="21">
        <f>'Standing charge factors'!M48</f>
        <v>0</v>
      </c>
      <c r="N116" s="21">
        <f>'Standing charge factors'!N48</f>
        <v>0</v>
      </c>
      <c r="O116" s="21">
        <f>'Standing charge factors'!O48</f>
        <v>0</v>
      </c>
      <c r="P116" s="21">
        <f>'Standing charge factors'!P48</f>
        <v>1</v>
      </c>
      <c r="Q116" s="21">
        <f>'Standing charge factors'!Q48</f>
        <v>0</v>
      </c>
      <c r="R116" s="21">
        <f>'Standing charge factors'!R48</f>
        <v>0</v>
      </c>
      <c r="S116" s="21">
        <f>'Standing charge factors'!S48</f>
        <v>0</v>
      </c>
      <c r="T116" s="21">
        <f>'Standing charge factors'!T48</f>
        <v>0</v>
      </c>
      <c r="U116" s="21">
        <f>'Standing charge factors'!U48</f>
        <v>0</v>
      </c>
      <c r="V116" s="21">
        <f>'Standing charge factors'!V48</f>
        <v>0</v>
      </c>
      <c r="W116" s="21">
        <f>'Standing charge factors'!W48</f>
        <v>0</v>
      </c>
      <c r="X116" s="21">
        <f>'Standing charge factors'!X48</f>
        <v>0</v>
      </c>
      <c r="Y116" s="21">
        <f>'Standing charge factors'!Y48</f>
        <v>0</v>
      </c>
      <c r="AP116" s="3"/>
    </row>
    <row r="117" spans="2:42" x14ac:dyDescent="0.35">
      <c r="C117" s="27"/>
      <c r="D117"/>
      <c r="E117"/>
      <c r="F117" t="s">
        <v>196</v>
      </c>
      <c r="G117" t="s">
        <v>167</v>
      </c>
      <c r="H117" s="53"/>
      <c r="J117" s="21">
        <f>'Standing charge factors'!J49</f>
        <v>0</v>
      </c>
      <c r="K117" s="21">
        <f>'Standing charge factors'!K49</f>
        <v>0</v>
      </c>
      <c r="L117" s="21">
        <f>'Standing charge factors'!L49</f>
        <v>0</v>
      </c>
      <c r="M117" s="21">
        <f>'Standing charge factors'!M49</f>
        <v>0</v>
      </c>
      <c r="N117" s="21">
        <f>'Standing charge factors'!N49</f>
        <v>0</v>
      </c>
      <c r="O117" s="21">
        <f>'Standing charge factors'!O49</f>
        <v>0</v>
      </c>
      <c r="P117" s="21">
        <f>'Standing charge factors'!P49</f>
        <v>1</v>
      </c>
      <c r="Q117" s="21">
        <f>'Standing charge factors'!Q49</f>
        <v>0</v>
      </c>
      <c r="R117" s="21">
        <f>'Standing charge factors'!R49</f>
        <v>0</v>
      </c>
      <c r="S117" s="21">
        <f>'Standing charge factors'!S49</f>
        <v>0</v>
      </c>
      <c r="T117" s="21">
        <f>'Standing charge factors'!T49</f>
        <v>0</v>
      </c>
      <c r="U117" s="21">
        <f>'Standing charge factors'!U49</f>
        <v>0</v>
      </c>
      <c r="V117" s="21">
        <f>'Standing charge factors'!V49</f>
        <v>0</v>
      </c>
      <c r="W117" s="21">
        <f>'Standing charge factors'!W49</f>
        <v>0</v>
      </c>
      <c r="X117" s="21">
        <f>'Standing charge factors'!X49</f>
        <v>0</v>
      </c>
      <c r="Y117" s="21">
        <f>'Standing charge factors'!Y49</f>
        <v>0</v>
      </c>
      <c r="AP117" s="3"/>
    </row>
    <row r="118" spans="2:42" x14ac:dyDescent="0.35">
      <c r="C118" s="27"/>
      <c r="D118"/>
      <c r="E118"/>
      <c r="F118" t="s">
        <v>197</v>
      </c>
      <c r="G118" t="s">
        <v>167</v>
      </c>
      <c r="H118" s="53"/>
      <c r="J118" s="21">
        <f>'Standing charge factors'!J50</f>
        <v>0</v>
      </c>
      <c r="K118" s="21">
        <f>'Standing charge factors'!K50</f>
        <v>0</v>
      </c>
      <c r="L118" s="21">
        <f>'Standing charge factors'!L50</f>
        <v>0</v>
      </c>
      <c r="M118" s="21">
        <f>'Standing charge factors'!M50</f>
        <v>0</v>
      </c>
      <c r="N118" s="21">
        <f>'Standing charge factors'!N50</f>
        <v>0.2</v>
      </c>
      <c r="O118" s="21">
        <f>'Standing charge factors'!O50</f>
        <v>1</v>
      </c>
      <c r="P118" s="21">
        <f>'Standing charge factors'!P50</f>
        <v>1</v>
      </c>
      <c r="Q118" s="21">
        <f>'Standing charge factors'!Q50</f>
        <v>0</v>
      </c>
      <c r="R118" s="21">
        <f>'Standing charge factors'!R50</f>
        <v>0</v>
      </c>
      <c r="S118" s="21">
        <f>'Standing charge factors'!S50</f>
        <v>0</v>
      </c>
      <c r="T118" s="21">
        <f>'Standing charge factors'!T50</f>
        <v>0</v>
      </c>
      <c r="U118" s="21">
        <f>'Standing charge factors'!U50</f>
        <v>0</v>
      </c>
      <c r="V118" s="21">
        <f>'Standing charge factors'!V50</f>
        <v>0</v>
      </c>
      <c r="W118" s="21">
        <f>'Standing charge factors'!W50</f>
        <v>0</v>
      </c>
      <c r="X118" s="21">
        <f>'Standing charge factors'!X50</f>
        <v>0</v>
      </c>
      <c r="Y118" s="21">
        <f>'Standing charge factors'!Y50</f>
        <v>0</v>
      </c>
      <c r="AP118" s="3"/>
    </row>
    <row r="119" spans="2:42" x14ac:dyDescent="0.35">
      <c r="C119" s="27"/>
      <c r="D119"/>
      <c r="E119"/>
      <c r="F119" t="s">
        <v>198</v>
      </c>
      <c r="G119" t="s">
        <v>167</v>
      </c>
      <c r="H119" s="53"/>
      <c r="J119" s="21">
        <f>'Standing charge factors'!J51</f>
        <v>0</v>
      </c>
      <c r="K119" s="21">
        <f>'Standing charge factors'!K51</f>
        <v>0</v>
      </c>
      <c r="L119" s="21">
        <f>'Standing charge factors'!L51</f>
        <v>0</v>
      </c>
      <c r="M119" s="21">
        <f>'Standing charge factors'!M51</f>
        <v>0</v>
      </c>
      <c r="N119" s="21">
        <f>'Standing charge factors'!N51</f>
        <v>1</v>
      </c>
      <c r="O119" s="21">
        <f>'Standing charge factors'!O51</f>
        <v>1</v>
      </c>
      <c r="P119" s="21">
        <f>'Standing charge factors'!P51</f>
        <v>0</v>
      </c>
      <c r="Q119" s="21">
        <f>'Standing charge factors'!Q51</f>
        <v>0</v>
      </c>
      <c r="R119" s="21">
        <f>'Standing charge factors'!R51</f>
        <v>0</v>
      </c>
      <c r="S119" s="21">
        <f>'Standing charge factors'!S51</f>
        <v>0</v>
      </c>
      <c r="T119" s="21">
        <f>'Standing charge factors'!T51</f>
        <v>0</v>
      </c>
      <c r="U119" s="21">
        <f>'Standing charge factors'!U51</f>
        <v>0</v>
      </c>
      <c r="V119" s="21">
        <f>'Standing charge factors'!V51</f>
        <v>0</v>
      </c>
      <c r="W119" s="21">
        <f>'Standing charge factors'!W51</f>
        <v>0</v>
      </c>
      <c r="X119" s="21">
        <f>'Standing charge factors'!X51</f>
        <v>0</v>
      </c>
      <c r="Y119" s="21">
        <f>'Standing charge factors'!Y51</f>
        <v>0</v>
      </c>
      <c r="AP119" s="3"/>
    </row>
    <row r="120" spans="2:42" x14ac:dyDescent="0.35">
      <c r="C120" s="27"/>
      <c r="D120"/>
      <c r="E120"/>
      <c r="F120" s="28" t="s">
        <v>199</v>
      </c>
      <c r="G120" s="28" t="s">
        <v>167</v>
      </c>
      <c r="H120" s="120"/>
      <c r="I120" s="28"/>
      <c r="J120" s="131">
        <f>'Standing charge factors'!J52</f>
        <v>1</v>
      </c>
      <c r="K120" s="131">
        <f>'Standing charge factors'!K52</f>
        <v>1</v>
      </c>
      <c r="L120" s="131">
        <f>'Standing charge factors'!L52</f>
        <v>1</v>
      </c>
      <c r="M120" s="131">
        <f>'Standing charge factors'!M52</f>
        <v>1</v>
      </c>
      <c r="N120" s="131">
        <f>'Standing charge factors'!N52</f>
        <v>1</v>
      </c>
      <c r="O120" s="131">
        <f>'Standing charge factors'!O52</f>
        <v>0</v>
      </c>
      <c r="P120" s="131">
        <f>'Standing charge factors'!P52</f>
        <v>0</v>
      </c>
      <c r="Q120" s="131">
        <f>'Standing charge factors'!Q52</f>
        <v>0</v>
      </c>
      <c r="R120" s="131">
        <f>'Standing charge factors'!R52</f>
        <v>0</v>
      </c>
      <c r="S120" s="131">
        <f>'Standing charge factors'!S52</f>
        <v>0</v>
      </c>
      <c r="T120" s="131">
        <f>'Standing charge factors'!T52</f>
        <v>0</v>
      </c>
      <c r="U120" s="131">
        <f>'Standing charge factors'!U52</f>
        <v>0</v>
      </c>
      <c r="V120" s="131">
        <f>'Standing charge factors'!V52</f>
        <v>0</v>
      </c>
      <c r="W120" s="131">
        <f>'Standing charge factors'!W52</f>
        <v>0</v>
      </c>
      <c r="X120" s="131">
        <f>'Standing charge factors'!X52</f>
        <v>0</v>
      </c>
      <c r="Y120" s="131">
        <f>'Standing charge factors'!Y52</f>
        <v>0</v>
      </c>
      <c r="AP120" s="3"/>
    </row>
    <row r="122" spans="2:42" x14ac:dyDescent="0.35">
      <c r="B122" s="25" t="s">
        <v>654</v>
      </c>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row>
    <row r="124" spans="2:42" x14ac:dyDescent="0.35">
      <c r="C124" s="26" t="str">
        <f ca="1">INDEX('Version control'!$H$38:$H$61,MATCH($A$1,'Version control'!$F$38:$F$61,0),1)&amp;"-E: Contributions to unit rate 1 p/kWh by network level (taking account of standing charges)"</f>
        <v>Section 111-E: Contributions to unit rate 1 p/kWh by network level (taking account of standing charges)</v>
      </c>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row>
    <row r="125" spans="2:42" x14ac:dyDescent="0.35">
      <c r="C125" s="27"/>
      <c r="D125"/>
      <c r="E125" s="27"/>
      <c r="I125" t="s">
        <v>154</v>
      </c>
      <c r="AA125" t="s">
        <v>655</v>
      </c>
    </row>
    <row r="126" spans="2:42" x14ac:dyDescent="0.35">
      <c r="E126" s="27" t="s">
        <v>620</v>
      </c>
    </row>
    <row r="127" spans="2:42" x14ac:dyDescent="0.35">
      <c r="F127" s="19" t="s">
        <v>189</v>
      </c>
      <c r="G127" s="19" t="s">
        <v>269</v>
      </c>
      <c r="H127" s="255"/>
      <c r="I127" s="255"/>
      <c r="J127" s="404">
        <f t="shared" ref="J127:K127" si="0">J22 * (1 - J$112)</f>
        <v>0</v>
      </c>
      <c r="K127" s="404">
        <f t="shared" si="0"/>
        <v>0</v>
      </c>
      <c r="L127" s="404">
        <f t="shared" ref="L127:M127" si="1">L22 * (1 - L$112)</f>
        <v>0</v>
      </c>
      <c r="M127" s="404">
        <f t="shared" si="1"/>
        <v>0</v>
      </c>
      <c r="N127" s="404">
        <f t="shared" ref="N127:P127" si="2">N22 * (1 - N$112)</f>
        <v>0</v>
      </c>
      <c r="O127" s="404">
        <f t="shared" si="2"/>
        <v>0</v>
      </c>
      <c r="P127" s="404">
        <f t="shared" si="2"/>
        <v>0</v>
      </c>
      <c r="Q127" s="404">
        <f t="shared" ref="Q127:S127" si="3">Q22 * (1 - Q$112)</f>
        <v>0</v>
      </c>
      <c r="R127" s="404">
        <f t="shared" si="3"/>
        <v>0</v>
      </c>
      <c r="S127" s="404">
        <f t="shared" si="3"/>
        <v>0</v>
      </c>
      <c r="T127" s="404">
        <f t="shared" ref="T127:U127" si="4">T22 * (1 - T$112)</f>
        <v>0</v>
      </c>
      <c r="U127" s="404">
        <f t="shared" si="4"/>
        <v>0</v>
      </c>
      <c r="V127" s="404">
        <f t="shared" ref="V127:W127" si="5">V22 * (1 - V$112)</f>
        <v>0</v>
      </c>
      <c r="W127" s="404">
        <f t="shared" si="5"/>
        <v>0</v>
      </c>
      <c r="X127" s="404">
        <f t="shared" ref="X127:Y127" si="6">X22 * (1 - X$112)</f>
        <v>0</v>
      </c>
      <c r="Y127" s="404">
        <f t="shared" si="6"/>
        <v>0</v>
      </c>
      <c r="Z127" s="256"/>
      <c r="AA127" s="256"/>
    </row>
    <row r="128" spans="2:42" x14ac:dyDescent="0.35">
      <c r="F128" t="s">
        <v>191</v>
      </c>
      <c r="G128" t="s">
        <v>269</v>
      </c>
      <c r="H128" s="256"/>
      <c r="I128" s="256"/>
      <c r="J128" s="271">
        <f t="shared" ref="J128:K128" si="7">J23 * (1 - J$112)</f>
        <v>0</v>
      </c>
      <c r="K128" s="271">
        <f t="shared" si="7"/>
        <v>0</v>
      </c>
      <c r="L128" s="271">
        <f t="shared" ref="L128:M128" si="8">L23 * (1 - L$112)</f>
        <v>0</v>
      </c>
      <c r="M128" s="271">
        <f t="shared" si="8"/>
        <v>0</v>
      </c>
      <c r="N128" s="271">
        <f t="shared" ref="N128:P128" si="9">N23 * (1 - N$112)</f>
        <v>0</v>
      </c>
      <c r="O128" s="271">
        <f t="shared" si="9"/>
        <v>0</v>
      </c>
      <c r="P128" s="271">
        <f t="shared" si="9"/>
        <v>0</v>
      </c>
      <c r="Q128" s="271">
        <f t="shared" ref="Q128:S128" si="10">Q23 * (1 - Q$112)</f>
        <v>0</v>
      </c>
      <c r="R128" s="271">
        <f t="shared" si="10"/>
        <v>0</v>
      </c>
      <c r="S128" s="271">
        <f t="shared" si="10"/>
        <v>0</v>
      </c>
      <c r="T128" s="271">
        <f t="shared" ref="T128:U128" si="11">T23 * (1 - T$112)</f>
        <v>0</v>
      </c>
      <c r="U128" s="271">
        <f t="shared" si="11"/>
        <v>0</v>
      </c>
      <c r="V128" s="271">
        <f t="shared" ref="V128:W128" si="12">V23 * (1 - V$112)</f>
        <v>0</v>
      </c>
      <c r="W128" s="271">
        <f t="shared" si="12"/>
        <v>0</v>
      </c>
      <c r="X128" s="271">
        <f t="shared" ref="X128:Y128" si="13">X23 * (1 - X$112)</f>
        <v>0</v>
      </c>
      <c r="Y128" s="271">
        <f t="shared" si="13"/>
        <v>0</v>
      </c>
      <c r="Z128" s="256"/>
      <c r="AA128" s="256"/>
    </row>
    <row r="129" spans="4:27" x14ac:dyDescent="0.35">
      <c r="F129" t="s">
        <v>192</v>
      </c>
      <c r="G129" t="s">
        <v>269</v>
      </c>
      <c r="H129" s="256"/>
      <c r="I129" s="256"/>
      <c r="J129" s="271">
        <f t="shared" ref="J129:K129" si="14">J24 * (1 - J$113)</f>
        <v>1.6368625441913387</v>
      </c>
      <c r="K129" s="271">
        <f t="shared" si="14"/>
        <v>1.6368625441913387</v>
      </c>
      <c r="L129" s="271">
        <f t="shared" ref="L129:M129" si="15">L24 * (1 - L$113)</f>
        <v>1.5311464947972213</v>
      </c>
      <c r="M129" s="271">
        <f t="shared" si="15"/>
        <v>1.5311464947972213</v>
      </c>
      <c r="N129" s="271">
        <f t="shared" ref="N129:P129" si="16">N24 * (1 - N$113)</f>
        <v>1.346858861707372</v>
      </c>
      <c r="O129" s="271">
        <f t="shared" si="16"/>
        <v>1.0956719654238198</v>
      </c>
      <c r="P129" s="271">
        <f t="shared" si="16"/>
        <v>1.1108929297311056</v>
      </c>
      <c r="Q129" s="271">
        <f t="shared" ref="Q129:S129" si="17">Q24 * (1 - Q$113)</f>
        <v>3.6225317431581798</v>
      </c>
      <c r="R129" s="271">
        <f t="shared" si="17"/>
        <v>-1.1361641478970488</v>
      </c>
      <c r="S129" s="271">
        <f t="shared" si="17"/>
        <v>-1.0871735837216714</v>
      </c>
      <c r="T129" s="271">
        <f t="shared" ref="T129:U129" si="18">T24 * (1 - T$113)</f>
        <v>-1.1361641478970488</v>
      </c>
      <c r="U129" s="271">
        <f t="shared" si="18"/>
        <v>-1.1361641478970488</v>
      </c>
      <c r="V129" s="271">
        <f t="shared" ref="V129:W129" si="19">V24 * (1 - V$113)</f>
        <v>-1.0871735837216714</v>
      </c>
      <c r="W129" s="271">
        <f t="shared" si="19"/>
        <v>-1.0871735837216714</v>
      </c>
      <c r="X129" s="271">
        <f t="shared" ref="X129:Y129" si="20">X24 * (1 - X$113)</f>
        <v>-1.0704959448534577</v>
      </c>
      <c r="Y129" s="271">
        <f t="shared" si="20"/>
        <v>-1.0704959448534577</v>
      </c>
      <c r="Z129" s="256"/>
      <c r="AA129" s="256"/>
    </row>
    <row r="130" spans="4:27" x14ac:dyDescent="0.35">
      <c r="F130" t="s">
        <v>193</v>
      </c>
      <c r="G130" t="s">
        <v>269</v>
      </c>
      <c r="H130" s="256"/>
      <c r="I130" s="256"/>
      <c r="J130" s="271">
        <f t="shared" ref="J130:K130" si="21">J25 * (1 - J$114)</f>
        <v>0.42353468767438551</v>
      </c>
      <c r="K130" s="271">
        <f t="shared" si="21"/>
        <v>0.42353468767438551</v>
      </c>
      <c r="L130" s="271">
        <f t="shared" ref="L130:M130" si="22">L25 * (1 - L$114)</f>
        <v>0.3961808856577187</v>
      </c>
      <c r="M130" s="271">
        <f t="shared" si="22"/>
        <v>0.3961808856577187</v>
      </c>
      <c r="N130" s="271">
        <f t="shared" ref="N130:P130" si="23">N25 * (1 - N$114)</f>
        <v>0.34849685415492609</v>
      </c>
      <c r="O130" s="271">
        <f t="shared" si="23"/>
        <v>0.28350278116884603</v>
      </c>
      <c r="P130" s="271">
        <f t="shared" si="23"/>
        <v>0.28744117317791607</v>
      </c>
      <c r="Q130" s="271">
        <f t="shared" ref="Q130:S130" si="24">Q25 * (1 - Q$114)</f>
        <v>0.93732235237078088</v>
      </c>
      <c r="R130" s="271">
        <f t="shared" si="24"/>
        <v>-0.2939800469098896</v>
      </c>
      <c r="S130" s="271">
        <f t="shared" si="24"/>
        <v>-0.28130384305230716</v>
      </c>
      <c r="T130" s="271">
        <f t="shared" ref="T130:U130" si="25">T25 * (1 - T$114)</f>
        <v>-0.2939800469098896</v>
      </c>
      <c r="U130" s="271">
        <f t="shared" si="25"/>
        <v>-0.2939800469098896</v>
      </c>
      <c r="V130" s="271">
        <f t="shared" ref="V130:W130" si="26">V25 * (1 - V$114)</f>
        <v>-0.28130384305230716</v>
      </c>
      <c r="W130" s="271">
        <f t="shared" si="26"/>
        <v>-0.28130384305230716</v>
      </c>
      <c r="X130" s="271">
        <f t="shared" ref="X130:Y130" si="27">X25 * (1 - X$114)</f>
        <v>-0.276988539611428</v>
      </c>
      <c r="Y130" s="271">
        <f t="shared" si="27"/>
        <v>-0.276988539611428</v>
      </c>
      <c r="Z130" s="256"/>
      <c r="AA130" s="256"/>
    </row>
    <row r="131" spans="4:27" x14ac:dyDescent="0.35">
      <c r="F131" t="s">
        <v>194</v>
      </c>
      <c r="G131" t="s">
        <v>269</v>
      </c>
      <c r="H131" s="256"/>
      <c r="I131" s="256"/>
      <c r="J131" s="271">
        <f t="shared" ref="J131:K131" si="28">J26 * (1 - J$115)</f>
        <v>0.96103882419068432</v>
      </c>
      <c r="K131" s="271">
        <f t="shared" si="28"/>
        <v>0.96103882419068432</v>
      </c>
      <c r="L131" s="271">
        <f t="shared" ref="L131:M131" si="29">L26 * (1 - L$115)</f>
        <v>0.89897055329748043</v>
      </c>
      <c r="M131" s="271">
        <f t="shared" si="29"/>
        <v>0.89897055329748043</v>
      </c>
      <c r="N131" s="271">
        <f t="shared" ref="N131:P131" si="30">N26 * (1 - N$115)</f>
        <v>0.79077113799162801</v>
      </c>
      <c r="O131" s="271">
        <f t="shared" si="30"/>
        <v>0.64329366023205714</v>
      </c>
      <c r="P131" s="271">
        <f t="shared" si="30"/>
        <v>0.51007644450328804</v>
      </c>
      <c r="Q131" s="271">
        <f t="shared" ref="Q131:S131" si="31">Q26 * (1 - Q$115)</f>
        <v>2.1228598598850503</v>
      </c>
      <c r="R131" s="271">
        <f t="shared" si="31"/>
        <v>-0.66706753151470177</v>
      </c>
      <c r="S131" s="271">
        <f t="shared" si="31"/>
        <v>-0.6383040691466364</v>
      </c>
      <c r="T131" s="271">
        <f t="shared" ref="T131:U131" si="32">T26 * (1 - T$115)</f>
        <v>-0.66706753151470177</v>
      </c>
      <c r="U131" s="271">
        <f t="shared" si="32"/>
        <v>-0.66706753151470177</v>
      </c>
      <c r="V131" s="271">
        <f t="shared" ref="V131:W131" si="33">V26 * (1 - V$115)</f>
        <v>-0.6383040691466364</v>
      </c>
      <c r="W131" s="271">
        <f t="shared" si="33"/>
        <v>-0.6383040691466364</v>
      </c>
      <c r="X131" s="271">
        <f t="shared" ref="X131:Y131" si="34">X26 * (1 - X$115)</f>
        <v>-0.61440975857390767</v>
      </c>
      <c r="Y131" s="271">
        <f t="shared" si="34"/>
        <v>-0.61440975857390767</v>
      </c>
      <c r="Z131" s="256"/>
      <c r="AA131" s="256"/>
    </row>
    <row r="132" spans="4:27" x14ac:dyDescent="0.35">
      <c r="F132" t="s">
        <v>195</v>
      </c>
      <c r="G132" t="s">
        <v>269</v>
      </c>
      <c r="H132" s="256"/>
      <c r="I132" s="256"/>
      <c r="J132" s="271">
        <f t="shared" ref="J132:K132" si="35">J27 * (1 - J$116)</f>
        <v>0.67164509868348765</v>
      </c>
      <c r="K132" s="271">
        <f t="shared" si="35"/>
        <v>0.67164509868348765</v>
      </c>
      <c r="L132" s="271">
        <f t="shared" ref="L132:M132" si="36">L27 * (1 - L$116)</f>
        <v>0.62826719460735858</v>
      </c>
      <c r="M132" s="271">
        <f t="shared" si="36"/>
        <v>0.62826719460735858</v>
      </c>
      <c r="N132" s="271">
        <f t="shared" ref="N132:P132" si="37">N27 * (1 - N$116)</f>
        <v>0.55264943064054539</v>
      </c>
      <c r="O132" s="271">
        <f t="shared" si="37"/>
        <v>0.44958124795101295</v>
      </c>
      <c r="P132" s="271">
        <f t="shared" si="37"/>
        <v>0</v>
      </c>
      <c r="Q132" s="271">
        <f t="shared" ref="Q132:S132" si="38">Q27 * (1 - Q$116)</f>
        <v>1.4836116754017923</v>
      </c>
      <c r="R132" s="271">
        <f t="shared" si="38"/>
        <v>-0.46619618974295052</v>
      </c>
      <c r="S132" s="271">
        <f t="shared" si="38"/>
        <v>-0.44609415220357551</v>
      </c>
      <c r="T132" s="271">
        <f t="shared" ref="T132:U132" si="39">T27 * (1 - T$116)</f>
        <v>-0.46619618974295052</v>
      </c>
      <c r="U132" s="271">
        <f t="shared" si="39"/>
        <v>-0.46619618974295052</v>
      </c>
      <c r="V132" s="271">
        <f t="shared" ref="V132:W132" si="40">V27 * (1 - V$116)</f>
        <v>-0.44609415220357551</v>
      </c>
      <c r="W132" s="271">
        <f t="shared" si="40"/>
        <v>-0.44609415220357551</v>
      </c>
      <c r="X132" s="271">
        <f t="shared" ref="X132:Y132" si="41">X27 * (1 - X$116)</f>
        <v>-0.4203499121073036</v>
      </c>
      <c r="Y132" s="271">
        <f t="shared" si="41"/>
        <v>-0.4203499121073036</v>
      </c>
      <c r="Z132" s="256"/>
      <c r="AA132" s="256"/>
    </row>
    <row r="133" spans="4:27" x14ac:dyDescent="0.35">
      <c r="F133" t="s">
        <v>196</v>
      </c>
      <c r="G133" t="s">
        <v>269</v>
      </c>
      <c r="H133" s="256"/>
      <c r="I133" s="256"/>
      <c r="J133" s="271">
        <f t="shared" ref="J133:K133" si="42">J28 * (1 - J$117)</f>
        <v>0</v>
      </c>
      <c r="K133" s="271">
        <f t="shared" si="42"/>
        <v>0</v>
      </c>
      <c r="L133" s="271">
        <f t="shared" ref="L133:M133" si="43">L28 * (1 - L$117)</f>
        <v>0</v>
      </c>
      <c r="M133" s="271">
        <f t="shared" si="43"/>
        <v>0</v>
      </c>
      <c r="N133" s="271">
        <f t="shared" ref="N133:P133" si="44">N28 * (1 - N$117)</f>
        <v>0</v>
      </c>
      <c r="O133" s="271">
        <f t="shared" si="44"/>
        <v>0</v>
      </c>
      <c r="P133" s="271">
        <f t="shared" si="44"/>
        <v>0</v>
      </c>
      <c r="Q133" s="271">
        <f t="shared" ref="Q133:S133" si="45">Q28 * (1 - Q$117)</f>
        <v>0</v>
      </c>
      <c r="R133" s="271">
        <f t="shared" si="45"/>
        <v>0</v>
      </c>
      <c r="S133" s="271">
        <f t="shared" si="45"/>
        <v>0</v>
      </c>
      <c r="T133" s="271">
        <f t="shared" ref="T133:U133" si="46">T28 * (1 - T$117)</f>
        <v>0</v>
      </c>
      <c r="U133" s="271">
        <f t="shared" si="46"/>
        <v>0</v>
      </c>
      <c r="V133" s="271">
        <f t="shared" ref="V133:W133" si="47">V28 * (1 - V$117)</f>
        <v>0</v>
      </c>
      <c r="W133" s="271">
        <f t="shared" si="47"/>
        <v>0</v>
      </c>
      <c r="X133" s="271">
        <f t="shared" ref="X133:Y133" si="48">X28 * (1 - X$117)</f>
        <v>0</v>
      </c>
      <c r="Y133" s="271">
        <f t="shared" si="48"/>
        <v>0</v>
      </c>
      <c r="Z133" s="256"/>
      <c r="AA133" s="256"/>
    </row>
    <row r="134" spans="4:27" x14ac:dyDescent="0.35">
      <c r="F134" t="s">
        <v>197</v>
      </c>
      <c r="G134" t="s">
        <v>269</v>
      </c>
      <c r="H134" s="256"/>
      <c r="I134" s="256"/>
      <c r="J134" s="271">
        <f t="shared" ref="J134:K134" si="49">J29 * (1 - J$118)</f>
        <v>0.92141855032474895</v>
      </c>
      <c r="K134" s="271">
        <f t="shared" si="49"/>
        <v>0.92141855032474895</v>
      </c>
      <c r="L134" s="271">
        <f t="shared" ref="L134:M134" si="50">L29 * (1 - L$118)</f>
        <v>0.86190913743943542</v>
      </c>
      <c r="M134" s="271">
        <f t="shared" si="50"/>
        <v>0.86190913743943542</v>
      </c>
      <c r="N134" s="271">
        <f t="shared" ref="N134:P134" si="51">N29 * (1 - N$118)</f>
        <v>0.60653632487365716</v>
      </c>
      <c r="O134" s="271">
        <f t="shared" si="51"/>
        <v>0</v>
      </c>
      <c r="P134" s="271">
        <f t="shared" si="51"/>
        <v>0</v>
      </c>
      <c r="Q134" s="271">
        <f t="shared" ref="Q134:S134" si="52">Q29 * (1 - Q$118)</f>
        <v>1.9487150005946101</v>
      </c>
      <c r="R134" s="271">
        <f t="shared" si="52"/>
        <v>-0.63956666722033473</v>
      </c>
      <c r="S134" s="271">
        <f t="shared" si="52"/>
        <v>-0.61198902193652205</v>
      </c>
      <c r="T134" s="271">
        <f t="shared" ref="T134:U134" si="53">T29 * (1 - T$118)</f>
        <v>-0.63956666722033473</v>
      </c>
      <c r="U134" s="271">
        <f t="shared" si="53"/>
        <v>-0.63956666722033473</v>
      </c>
      <c r="V134" s="271">
        <f t="shared" ref="V134:W134" si="54">V29 * (1 - V$118)</f>
        <v>-0.61198902193652205</v>
      </c>
      <c r="W134" s="271">
        <f t="shared" si="54"/>
        <v>-0.61198902193652205</v>
      </c>
      <c r="X134" s="271">
        <f t="shared" ref="X134:Y134" si="55">X29 * (1 - X$118)</f>
        <v>0</v>
      </c>
      <c r="Y134" s="271">
        <f t="shared" si="55"/>
        <v>0</v>
      </c>
      <c r="Z134" s="256"/>
      <c r="AA134" s="256"/>
    </row>
    <row r="135" spans="4:27" x14ac:dyDescent="0.35">
      <c r="F135" t="s">
        <v>198</v>
      </c>
      <c r="G135" t="s">
        <v>269</v>
      </c>
      <c r="H135" s="256"/>
      <c r="I135" s="256"/>
      <c r="J135" s="271">
        <f t="shared" ref="J135:K135" si="56">J30 * (1 - J$119)</f>
        <v>0.31085822175282135</v>
      </c>
      <c r="K135" s="271">
        <f t="shared" si="56"/>
        <v>0.31085822175282135</v>
      </c>
      <c r="L135" s="271">
        <f t="shared" ref="L135:M135" si="57">L30 * (1 - L$119)</f>
        <v>0.29078157986129105</v>
      </c>
      <c r="M135" s="271">
        <f t="shared" si="57"/>
        <v>0.29078157986129105</v>
      </c>
      <c r="N135" s="271">
        <f t="shared" ref="N135:P135" si="58">N30 * (1 - N$119)</f>
        <v>0</v>
      </c>
      <c r="O135" s="271">
        <f t="shared" si="58"/>
        <v>0</v>
      </c>
      <c r="P135" s="271">
        <f t="shared" si="58"/>
        <v>0</v>
      </c>
      <c r="Q135" s="271">
        <f t="shared" ref="Q135:S135" si="59">Q30 * (1 - Q$119)</f>
        <v>0.65743638390434722</v>
      </c>
      <c r="R135" s="271">
        <f t="shared" si="59"/>
        <v>-0.21577008276468998</v>
      </c>
      <c r="S135" s="271">
        <f t="shared" si="59"/>
        <v>0</v>
      </c>
      <c r="T135" s="271">
        <f t="shared" ref="T135:U135" si="60">T30 * (1 - T$119)</f>
        <v>-0.21577008276468998</v>
      </c>
      <c r="U135" s="271">
        <f t="shared" si="60"/>
        <v>-0.21577008276468998</v>
      </c>
      <c r="V135" s="271">
        <f t="shared" ref="V135:W135" si="61">V30 * (1 - V$119)</f>
        <v>0</v>
      </c>
      <c r="W135" s="271">
        <f t="shared" si="61"/>
        <v>0</v>
      </c>
      <c r="X135" s="271">
        <f t="shared" ref="X135:Y135" si="62">X30 * (1 - X$119)</f>
        <v>0</v>
      </c>
      <c r="Y135" s="271">
        <f t="shared" si="62"/>
        <v>0</v>
      </c>
      <c r="Z135" s="256"/>
      <c r="AA135" s="256"/>
    </row>
    <row r="136" spans="4:27" x14ac:dyDescent="0.35">
      <c r="F136" t="s">
        <v>199</v>
      </c>
      <c r="G136" t="s">
        <v>269</v>
      </c>
      <c r="H136" s="256"/>
      <c r="I136" s="256"/>
      <c r="J136" s="271">
        <f t="shared" ref="J136:K136" si="63">J31 * (1 - J$120)</f>
        <v>0</v>
      </c>
      <c r="K136" s="271">
        <f t="shared" si="63"/>
        <v>0</v>
      </c>
      <c r="L136" s="271">
        <f t="shared" ref="L136:M136" si="64">L31 * (1 - L$120)</f>
        <v>0</v>
      </c>
      <c r="M136" s="271">
        <f t="shared" si="64"/>
        <v>0</v>
      </c>
      <c r="N136" s="271">
        <f t="shared" ref="N136:P136" si="65">N31 * (1 - N$120)</f>
        <v>0</v>
      </c>
      <c r="O136" s="271">
        <f t="shared" si="65"/>
        <v>0</v>
      </c>
      <c r="P136" s="271">
        <f t="shared" si="65"/>
        <v>0</v>
      </c>
      <c r="Q136" s="271">
        <f t="shared" ref="Q136:S136" si="66">Q31 * (1 - Q$120)</f>
        <v>0.12978891027026543</v>
      </c>
      <c r="R136" s="271">
        <f t="shared" si="66"/>
        <v>0</v>
      </c>
      <c r="S136" s="271">
        <f t="shared" si="66"/>
        <v>0</v>
      </c>
      <c r="T136" s="271">
        <f t="shared" ref="T136:U136" si="67">T31 * (1 - T$120)</f>
        <v>0</v>
      </c>
      <c r="U136" s="271">
        <f t="shared" si="67"/>
        <v>0</v>
      </c>
      <c r="V136" s="271">
        <f t="shared" ref="V136:W136" si="68">V31 * (1 - V$120)</f>
        <v>0</v>
      </c>
      <c r="W136" s="271">
        <f t="shared" si="68"/>
        <v>0</v>
      </c>
      <c r="X136" s="271">
        <f t="shared" ref="X136:Y136" si="69">X31 * (1 - X$120)</f>
        <v>0</v>
      </c>
      <c r="Y136" s="271">
        <f t="shared" si="69"/>
        <v>0</v>
      </c>
      <c r="Z136" s="256"/>
      <c r="AA136" s="256"/>
    </row>
    <row r="137" spans="4:27" x14ac:dyDescent="0.35">
      <c r="D137"/>
      <c r="F137" s="19" t="s">
        <v>375</v>
      </c>
      <c r="G137" s="19" t="s">
        <v>269</v>
      </c>
      <c r="H137" s="255"/>
      <c r="I137" s="255"/>
      <c r="J137" s="269"/>
      <c r="K137" s="269"/>
      <c r="L137" s="269"/>
      <c r="M137" s="269"/>
      <c r="N137" s="269"/>
      <c r="O137" s="269"/>
      <c r="P137" s="269"/>
      <c r="Q137" s="269"/>
      <c r="R137" s="269"/>
      <c r="S137" s="269"/>
      <c r="T137" s="269"/>
      <c r="U137" s="269"/>
      <c r="V137" s="269"/>
      <c r="W137" s="269"/>
      <c r="X137" s="269"/>
      <c r="Y137" s="269"/>
      <c r="Z137" s="256"/>
      <c r="AA137" s="256"/>
    </row>
    <row r="138" spans="4:27" x14ac:dyDescent="0.35">
      <c r="D138"/>
      <c r="F138" s="28" t="s">
        <v>376</v>
      </c>
      <c r="G138" s="28" t="s">
        <v>269</v>
      </c>
      <c r="H138" s="258"/>
      <c r="I138" s="258"/>
      <c r="J138" s="259"/>
      <c r="K138" s="259"/>
      <c r="L138" s="259"/>
      <c r="M138" s="259"/>
      <c r="N138" s="259"/>
      <c r="O138" s="259"/>
      <c r="P138" s="259"/>
      <c r="Q138" s="259"/>
      <c r="R138" s="259"/>
      <c r="S138" s="259"/>
      <c r="T138" s="259"/>
      <c r="U138" s="259"/>
      <c r="V138" s="259"/>
      <c r="W138" s="259"/>
      <c r="X138" s="259"/>
      <c r="Y138" s="259"/>
      <c r="Z138" s="256"/>
      <c r="AA138" s="256"/>
    </row>
    <row r="139" spans="4:27" x14ac:dyDescent="0.35">
      <c r="E139"/>
      <c r="J139" s="79"/>
      <c r="K139" s="79"/>
      <c r="L139" s="79"/>
      <c r="M139" s="79"/>
      <c r="N139" s="79"/>
      <c r="O139" s="79"/>
      <c r="P139" s="79"/>
      <c r="Q139" s="79"/>
      <c r="R139" s="79"/>
      <c r="S139" s="79"/>
      <c r="T139" s="79"/>
      <c r="U139" s="79"/>
      <c r="V139" s="79"/>
      <c r="W139" s="79"/>
      <c r="X139" s="79"/>
      <c r="Y139" s="79"/>
    </row>
    <row r="140" spans="4:27" x14ac:dyDescent="0.35">
      <c r="E140" s="27" t="s">
        <v>621</v>
      </c>
      <c r="J140" s="79"/>
      <c r="K140" s="79"/>
      <c r="L140" s="79"/>
      <c r="M140" s="79"/>
      <c r="N140" s="79"/>
      <c r="O140" s="79"/>
      <c r="P140" s="79"/>
      <c r="Q140" s="79"/>
      <c r="R140" s="79"/>
      <c r="S140" s="79"/>
      <c r="T140" s="79"/>
      <c r="U140" s="79"/>
      <c r="V140" s="79"/>
      <c r="W140" s="79"/>
      <c r="X140" s="79"/>
      <c r="Y140" s="79"/>
    </row>
    <row r="141" spans="4:27" x14ac:dyDescent="0.35">
      <c r="F141" s="19" t="s">
        <v>189</v>
      </c>
      <c r="G141" s="19" t="s">
        <v>269</v>
      </c>
      <c r="H141" s="255"/>
      <c r="I141" s="255"/>
      <c r="J141" s="404">
        <f t="shared" ref="J141:K141" si="70">J36 * (1 - J$112)</f>
        <v>0.61771612950608523</v>
      </c>
      <c r="K141" s="404">
        <f t="shared" si="70"/>
        <v>0.61771612950608523</v>
      </c>
      <c r="L141" s="404">
        <f t="shared" ref="L141:M141" si="71">L36 * (1 - L$112)</f>
        <v>0.57782120424791716</v>
      </c>
      <c r="M141" s="404">
        <f t="shared" si="71"/>
        <v>0.57782120424791716</v>
      </c>
      <c r="N141" s="404">
        <f t="shared" ref="N141:P141" si="72">N36 * (1 - N$112)</f>
        <v>0.50827508149492917</v>
      </c>
      <c r="O141" s="404">
        <f t="shared" si="72"/>
        <v>0.41348263975598182</v>
      </c>
      <c r="P141" s="404">
        <f t="shared" si="72"/>
        <v>0.41922669883572083</v>
      </c>
      <c r="Q141" s="404">
        <f t="shared" ref="Q141:S141" si="73">Q36 * (1 - Q$112)</f>
        <v>1.1939605038446728</v>
      </c>
      <c r="R141" s="404">
        <f t="shared" si="73"/>
        <v>-0.42876350394422941</v>
      </c>
      <c r="S141" s="404">
        <f t="shared" si="73"/>
        <v>-0.41027553634296449</v>
      </c>
      <c r="T141" s="404">
        <f t="shared" ref="T141:U141" si="74">T36 * (1 - T$112)</f>
        <v>-0.42876350394422941</v>
      </c>
      <c r="U141" s="404">
        <f t="shared" si="74"/>
        <v>-0.42876350394422941</v>
      </c>
      <c r="V141" s="404">
        <f t="shared" ref="V141:W141" si="75">V36 * (1 - V$112)</f>
        <v>-0.41027553634296449</v>
      </c>
      <c r="W141" s="404">
        <f t="shared" si="75"/>
        <v>-0.41027553634296449</v>
      </c>
      <c r="X141" s="404">
        <f t="shared" ref="X141:Y141" si="76">X36 * (1 - X$112)</f>
        <v>-0.40398176013827852</v>
      </c>
      <c r="Y141" s="404">
        <f t="shared" si="76"/>
        <v>-0.40398176013827852</v>
      </c>
      <c r="Z141" s="256"/>
      <c r="AA141" s="256"/>
    </row>
    <row r="142" spans="4:27" x14ac:dyDescent="0.35">
      <c r="F142" t="s">
        <v>191</v>
      </c>
      <c r="G142" t="s">
        <v>269</v>
      </c>
      <c r="H142" s="256"/>
      <c r="I142" s="256"/>
      <c r="J142" s="271">
        <f t="shared" ref="J142:K142" si="77">J37 * (1 - J$112)</f>
        <v>0</v>
      </c>
      <c r="K142" s="271">
        <f t="shared" si="77"/>
        <v>0</v>
      </c>
      <c r="L142" s="271">
        <f t="shared" ref="L142:M142" si="78">L37 * (1 - L$112)</f>
        <v>0</v>
      </c>
      <c r="M142" s="271">
        <f t="shared" si="78"/>
        <v>0</v>
      </c>
      <c r="N142" s="271">
        <f t="shared" ref="N142:P142" si="79">N37 * (1 - N$112)</f>
        <v>0</v>
      </c>
      <c r="O142" s="271">
        <f t="shared" si="79"/>
        <v>0</v>
      </c>
      <c r="P142" s="271">
        <f t="shared" si="79"/>
        <v>0</v>
      </c>
      <c r="Q142" s="271">
        <f t="shared" ref="Q142:S142" si="80">Q37 * (1 - Q$112)</f>
        <v>0</v>
      </c>
      <c r="R142" s="271">
        <f t="shared" si="80"/>
        <v>0</v>
      </c>
      <c r="S142" s="271">
        <f t="shared" si="80"/>
        <v>0</v>
      </c>
      <c r="T142" s="271">
        <f t="shared" ref="T142:U142" si="81">T37 * (1 - T$112)</f>
        <v>0</v>
      </c>
      <c r="U142" s="271">
        <f t="shared" si="81"/>
        <v>0</v>
      </c>
      <c r="V142" s="271">
        <f t="shared" ref="V142:W142" si="82">V37 * (1 - V$112)</f>
        <v>0</v>
      </c>
      <c r="W142" s="271">
        <f t="shared" si="82"/>
        <v>0</v>
      </c>
      <c r="X142" s="271">
        <f t="shared" ref="X142:Y142" si="83">X37 * (1 - X$112)</f>
        <v>0</v>
      </c>
      <c r="Y142" s="271">
        <f t="shared" si="83"/>
        <v>0</v>
      </c>
      <c r="Z142" s="256"/>
      <c r="AA142" s="256"/>
    </row>
    <row r="143" spans="4:27" x14ac:dyDescent="0.35">
      <c r="F143" t="s">
        <v>192</v>
      </c>
      <c r="G143" t="s">
        <v>269</v>
      </c>
      <c r="H143" s="256"/>
      <c r="I143" s="256"/>
      <c r="J143" s="271">
        <f t="shared" ref="J143:K143" si="84">J38 * (1 - J$113)</f>
        <v>1.0904197176777213</v>
      </c>
      <c r="K143" s="271">
        <f t="shared" si="84"/>
        <v>1.0904197176777213</v>
      </c>
      <c r="L143" s="271">
        <f t="shared" ref="L143:M143" si="85">L38 * (1 - L$113)</f>
        <v>1.019995438532592</v>
      </c>
      <c r="M143" s="271">
        <f t="shared" si="85"/>
        <v>1.019995438532592</v>
      </c>
      <c r="N143" s="271">
        <f t="shared" ref="N143:P143" si="86">N38 * (1 - N$113)</f>
        <v>0.89722955965141515</v>
      </c>
      <c r="O143" s="271">
        <f t="shared" si="86"/>
        <v>0.72989776658068484</v>
      </c>
      <c r="P143" s="271">
        <f t="shared" si="86"/>
        <v>0.74003743265199362</v>
      </c>
      <c r="Q143" s="271">
        <f t="shared" ref="Q143:S143" si="87">Q38 * (1 - Q$113)</f>
        <v>2.4132020459937817</v>
      </c>
      <c r="R143" s="271">
        <f t="shared" si="87"/>
        <v>-0.75687222105598495</v>
      </c>
      <c r="S143" s="271">
        <f t="shared" si="87"/>
        <v>-0.72423644638659834</v>
      </c>
      <c r="T143" s="271">
        <f t="shared" ref="T143:U143" si="88">T38 * (1 - T$113)</f>
        <v>-0.75687222105598495</v>
      </c>
      <c r="U143" s="271">
        <f t="shared" si="88"/>
        <v>-0.75687222105598495</v>
      </c>
      <c r="V143" s="271">
        <f t="shared" ref="V143:W143" si="89">V38 * (1 - V$113)</f>
        <v>-0.72423644638659834</v>
      </c>
      <c r="W143" s="271">
        <f t="shared" si="89"/>
        <v>-0.72423644638659834</v>
      </c>
      <c r="X143" s="271">
        <f t="shared" ref="X143:Y143" si="90">X38 * (1 - X$113)</f>
        <v>-0.71312639543531786</v>
      </c>
      <c r="Y143" s="271">
        <f t="shared" si="90"/>
        <v>-0.71312639543531786</v>
      </c>
      <c r="Z143" s="256"/>
      <c r="AA143" s="256"/>
    </row>
    <row r="144" spans="4:27" x14ac:dyDescent="0.35">
      <c r="F144" t="s">
        <v>193</v>
      </c>
      <c r="G144" t="s">
        <v>269</v>
      </c>
      <c r="H144" s="256"/>
      <c r="I144" s="256"/>
      <c r="J144" s="271">
        <f t="shared" ref="J144:K144" si="91">J39 * (1 - J$114)</f>
        <v>0.28214377328108758</v>
      </c>
      <c r="K144" s="271">
        <f t="shared" si="91"/>
        <v>0.28214377328108758</v>
      </c>
      <c r="L144" s="271">
        <f t="shared" ref="L144:M144" si="92">L39 * (1 - L$114)</f>
        <v>0.26392164144828811</v>
      </c>
      <c r="M144" s="271">
        <f t="shared" si="92"/>
        <v>0.26392164144828811</v>
      </c>
      <c r="N144" s="271">
        <f t="shared" ref="N144:P144" si="93">N39 * (1 - N$114)</f>
        <v>0.23215623246295511</v>
      </c>
      <c r="O144" s="271">
        <f t="shared" si="93"/>
        <v>0.18885948835472019</v>
      </c>
      <c r="P144" s="271">
        <f t="shared" si="93"/>
        <v>0.19148310529670112</v>
      </c>
      <c r="Q144" s="271">
        <f t="shared" ref="Q144:S144" si="94">Q39 * (1 - Q$114)</f>
        <v>0.6244108758381427</v>
      </c>
      <c r="R144" s="271">
        <f t="shared" si="94"/>
        <v>-0.19583907084435884</v>
      </c>
      <c r="S144" s="271">
        <f t="shared" si="94"/>
        <v>-0.18739463384464791</v>
      </c>
      <c r="T144" s="271">
        <f t="shared" ref="T144:U144" si="95">T39 * (1 - T$114)</f>
        <v>-0.19583907084435884</v>
      </c>
      <c r="U144" s="271">
        <f t="shared" si="95"/>
        <v>-0.19583907084435884</v>
      </c>
      <c r="V144" s="271">
        <f t="shared" ref="V144:W144" si="96">V39 * (1 - V$114)</f>
        <v>-0.18739463384464791</v>
      </c>
      <c r="W144" s="271">
        <f t="shared" si="96"/>
        <v>-0.18739463384464791</v>
      </c>
      <c r="X144" s="271">
        <f t="shared" ref="X144:Y144" si="97">X39 * (1 - X$114)</f>
        <v>-0.18451993188729951</v>
      </c>
      <c r="Y144" s="271">
        <f t="shared" si="97"/>
        <v>-0.18451993188729951</v>
      </c>
      <c r="Z144" s="256"/>
      <c r="AA144" s="256"/>
    </row>
    <row r="145" spans="3:27" x14ac:dyDescent="0.35">
      <c r="F145" t="s">
        <v>194</v>
      </c>
      <c r="G145" t="s">
        <v>269</v>
      </c>
      <c r="H145" s="256"/>
      <c r="I145" s="256"/>
      <c r="J145" s="271">
        <f t="shared" ref="J145:K145" si="98">J40 * (1 - J$115)</f>
        <v>0.64822880559298779</v>
      </c>
      <c r="K145" s="271">
        <f t="shared" si="98"/>
        <v>0.64822880559298779</v>
      </c>
      <c r="L145" s="271">
        <f t="shared" ref="L145:M145" si="99">L40 * (1 - L$115)</f>
        <v>0.60636323253436974</v>
      </c>
      <c r="M145" s="271">
        <f t="shared" si="99"/>
        <v>0.60636323253436974</v>
      </c>
      <c r="N145" s="271">
        <f t="shared" ref="N145:P145" si="100">N40 * (1 - N$115)</f>
        <v>0.53338181286213393</v>
      </c>
      <c r="O145" s="271">
        <f t="shared" si="100"/>
        <v>0.43390700825113454</v>
      </c>
      <c r="P145" s="271">
        <f t="shared" si="100"/>
        <v>0.35194784047651262</v>
      </c>
      <c r="Q145" s="271">
        <f t="shared" ref="Q145:S145" si="101">Q40 * (1 - Q$115)</f>
        <v>1.4318869090158064</v>
      </c>
      <c r="R145" s="271">
        <f t="shared" si="101"/>
        <v>-0.44994268526849945</v>
      </c>
      <c r="S145" s="271">
        <f t="shared" si="101"/>
        <v>-0.4305414869128853</v>
      </c>
      <c r="T145" s="271">
        <f t="shared" ref="T145:U145" si="102">T40 * (1 - T$115)</f>
        <v>-0.44994268526849945</v>
      </c>
      <c r="U145" s="271">
        <f t="shared" si="102"/>
        <v>-0.44994268526849945</v>
      </c>
      <c r="V145" s="271">
        <f t="shared" ref="V145:W145" si="103">V40 * (1 - V$115)</f>
        <v>-0.4305414869128853</v>
      </c>
      <c r="W145" s="271">
        <f t="shared" si="103"/>
        <v>-0.4305414869128853</v>
      </c>
      <c r="X145" s="271">
        <f t="shared" ref="X145:Y145" si="104">X40 * (1 - X$115)</f>
        <v>-0.42393682364288898</v>
      </c>
      <c r="Y145" s="271">
        <f t="shared" si="104"/>
        <v>-0.42393682364288898</v>
      </c>
      <c r="Z145" s="256"/>
      <c r="AA145" s="256"/>
    </row>
    <row r="146" spans="3:27" x14ac:dyDescent="0.35">
      <c r="F146" t="s">
        <v>195</v>
      </c>
      <c r="G146" t="s">
        <v>269</v>
      </c>
      <c r="H146" s="256"/>
      <c r="I146" s="256"/>
      <c r="J146" s="271">
        <f t="shared" ref="J146:K146" si="105">J41 * (1 - J$116)</f>
        <v>0.45861679556187263</v>
      </c>
      <c r="K146" s="271">
        <f t="shared" si="105"/>
        <v>0.45861679556187263</v>
      </c>
      <c r="L146" s="271">
        <f t="shared" ref="L146:M146" si="106">L41 * (1 - L$116)</f>
        <v>0.42899723099633191</v>
      </c>
      <c r="M146" s="271">
        <f t="shared" si="106"/>
        <v>0.42899723099633191</v>
      </c>
      <c r="N146" s="271">
        <f t="shared" ref="N146:P146" si="107">N41 * (1 - N$116)</f>
        <v>0.37736344900940089</v>
      </c>
      <c r="O146" s="271">
        <f t="shared" si="107"/>
        <v>0.30698580497967154</v>
      </c>
      <c r="P146" s="271">
        <f t="shared" si="107"/>
        <v>0</v>
      </c>
      <c r="Q146" s="271">
        <f t="shared" ref="Q146:S146" si="108">Q41 * (1 - Q$116)</f>
        <v>1.0130487570960354</v>
      </c>
      <c r="R146" s="271">
        <f t="shared" si="108"/>
        <v>-0.31833092069331459</v>
      </c>
      <c r="S146" s="271">
        <f t="shared" si="108"/>
        <v>-0.30460472503039182</v>
      </c>
      <c r="T146" s="271">
        <f t="shared" ref="T146:U146" si="109">T41 * (1 - T$116)</f>
        <v>-0.31833092069331459</v>
      </c>
      <c r="U146" s="271">
        <f t="shared" si="109"/>
        <v>-0.31833092069331459</v>
      </c>
      <c r="V146" s="271">
        <f t="shared" ref="V146:W146" si="110">V41 * (1 - V$116)</f>
        <v>-0.30460472503039182</v>
      </c>
      <c r="W146" s="271">
        <f t="shared" si="110"/>
        <v>-0.30460472503039182</v>
      </c>
      <c r="X146" s="271">
        <f t="shared" ref="X146:Y146" si="111">X41 * (1 - X$116)</f>
        <v>-0.29993197757067347</v>
      </c>
      <c r="Y146" s="271">
        <f t="shared" si="111"/>
        <v>-0.29993197757067347</v>
      </c>
      <c r="Z146" s="256"/>
      <c r="AA146" s="256"/>
    </row>
    <row r="147" spans="3:27" x14ac:dyDescent="0.35">
      <c r="F147" t="s">
        <v>196</v>
      </c>
      <c r="G147" t="s">
        <v>269</v>
      </c>
      <c r="H147" s="256"/>
      <c r="I147" s="256"/>
      <c r="J147" s="271">
        <f t="shared" ref="J147:K147" si="112">J42 * (1 - J$117)</f>
        <v>0</v>
      </c>
      <c r="K147" s="271">
        <f t="shared" si="112"/>
        <v>0</v>
      </c>
      <c r="L147" s="271">
        <f t="shared" ref="L147:M147" si="113">L42 * (1 - L$117)</f>
        <v>0</v>
      </c>
      <c r="M147" s="271">
        <f t="shared" si="113"/>
        <v>0</v>
      </c>
      <c r="N147" s="271">
        <f t="shared" ref="N147:P147" si="114">N42 * (1 - N$117)</f>
        <v>0</v>
      </c>
      <c r="O147" s="271">
        <f t="shared" si="114"/>
        <v>0</v>
      </c>
      <c r="P147" s="271">
        <f t="shared" si="114"/>
        <v>0</v>
      </c>
      <c r="Q147" s="271">
        <f t="shared" ref="Q147:S147" si="115">Q42 * (1 - Q$117)</f>
        <v>0</v>
      </c>
      <c r="R147" s="271">
        <f t="shared" si="115"/>
        <v>0</v>
      </c>
      <c r="S147" s="271">
        <f t="shared" si="115"/>
        <v>0</v>
      </c>
      <c r="T147" s="271">
        <f t="shared" ref="T147:U147" si="116">T42 * (1 - T$117)</f>
        <v>0</v>
      </c>
      <c r="U147" s="271">
        <f t="shared" si="116"/>
        <v>0</v>
      </c>
      <c r="V147" s="271">
        <f t="shared" ref="V147:W147" si="117">V42 * (1 - V$117)</f>
        <v>0</v>
      </c>
      <c r="W147" s="271">
        <f t="shared" si="117"/>
        <v>0</v>
      </c>
      <c r="X147" s="271">
        <f t="shared" ref="X147:Y147" si="118">X42 * (1 - X$117)</f>
        <v>0</v>
      </c>
      <c r="Y147" s="271">
        <f t="shared" si="118"/>
        <v>0</v>
      </c>
      <c r="Z147" s="256"/>
      <c r="AA147" s="256"/>
    </row>
    <row r="148" spans="3:27" x14ac:dyDescent="0.35">
      <c r="F148" t="s">
        <v>197</v>
      </c>
      <c r="G148" t="s">
        <v>269</v>
      </c>
      <c r="H148" s="256"/>
      <c r="I148" s="256"/>
      <c r="J148" s="271">
        <f t="shared" ref="J148:K148" si="119">J43 * (1 - J$118)</f>
        <v>0.93540946257990532</v>
      </c>
      <c r="K148" s="271">
        <f t="shared" si="119"/>
        <v>0.93540946257990532</v>
      </c>
      <c r="L148" s="271">
        <f t="shared" ref="L148:M148" si="120">L43 * (1 - L$118)</f>
        <v>0.87499645276381477</v>
      </c>
      <c r="M148" s="271">
        <f t="shared" si="120"/>
        <v>0.87499645276381477</v>
      </c>
      <c r="N148" s="271">
        <f t="shared" ref="N148:P148" si="121">N43 * (1 - N$118)</f>
        <v>0.61574603364051617</v>
      </c>
      <c r="O148" s="271">
        <f t="shared" si="121"/>
        <v>0</v>
      </c>
      <c r="P148" s="271">
        <f t="shared" si="121"/>
        <v>0</v>
      </c>
      <c r="Q148" s="271">
        <f t="shared" ref="Q148:S148" si="122">Q43 * (1 - Q$118)</f>
        <v>1.9783044858225955</v>
      </c>
      <c r="R148" s="271">
        <f t="shared" si="122"/>
        <v>-0.64927791203871699</v>
      </c>
      <c r="S148" s="271">
        <f t="shared" si="122"/>
        <v>-0.62128152500585498</v>
      </c>
      <c r="T148" s="271">
        <f t="shared" ref="T148:U148" si="123">T43 * (1 - T$118)</f>
        <v>-0.64927791203871699</v>
      </c>
      <c r="U148" s="271">
        <f t="shared" si="123"/>
        <v>-0.64927791203871699</v>
      </c>
      <c r="V148" s="271">
        <f t="shared" ref="V148:W148" si="124">V43 * (1 - V$118)</f>
        <v>-0.62128152500585498</v>
      </c>
      <c r="W148" s="271">
        <f t="shared" si="124"/>
        <v>-0.62128152500585498</v>
      </c>
      <c r="X148" s="271">
        <f t="shared" ref="X148:Y148" si="125">X43 * (1 - X$118)</f>
        <v>0</v>
      </c>
      <c r="Y148" s="271">
        <f t="shared" si="125"/>
        <v>0</v>
      </c>
      <c r="Z148" s="256"/>
      <c r="AA148" s="256"/>
    </row>
    <row r="149" spans="3:27" x14ac:dyDescent="0.35">
      <c r="F149" t="s">
        <v>198</v>
      </c>
      <c r="G149" t="s">
        <v>269</v>
      </c>
      <c r="H149" s="256"/>
      <c r="I149" s="256"/>
      <c r="J149" s="271">
        <f t="shared" ref="J149:K149" si="126">J44 * (1 - J$119)</f>
        <v>0.35921908342276054</v>
      </c>
      <c r="K149" s="271">
        <f t="shared" si="126"/>
        <v>0.35921908342276054</v>
      </c>
      <c r="L149" s="271">
        <f t="shared" ref="L149:M149" si="127">L44 * (1 - L$119)</f>
        <v>0.33601907649414514</v>
      </c>
      <c r="M149" s="271">
        <f t="shared" si="127"/>
        <v>0.33601907649414514</v>
      </c>
      <c r="N149" s="271">
        <f t="shared" ref="N149:P149" si="128">N44 * (1 - N$119)</f>
        <v>0</v>
      </c>
      <c r="O149" s="271">
        <f t="shared" si="128"/>
        <v>0</v>
      </c>
      <c r="P149" s="271">
        <f t="shared" si="128"/>
        <v>0</v>
      </c>
      <c r="Q149" s="271">
        <f t="shared" ref="Q149:S149" si="129">Q44 * (1 - Q$119)</f>
        <v>0.75971513284496317</v>
      </c>
      <c r="R149" s="271">
        <f t="shared" si="129"/>
        <v>-0.2493378844018998</v>
      </c>
      <c r="S149" s="271">
        <f t="shared" si="129"/>
        <v>0</v>
      </c>
      <c r="T149" s="271">
        <f t="shared" ref="T149:U149" si="130">T44 * (1 - T$119)</f>
        <v>-0.2493378844018998</v>
      </c>
      <c r="U149" s="271">
        <f t="shared" si="130"/>
        <v>-0.2493378844018998</v>
      </c>
      <c r="V149" s="271">
        <f t="shared" ref="V149:W149" si="131">V44 * (1 - V$119)</f>
        <v>0</v>
      </c>
      <c r="W149" s="271">
        <f t="shared" si="131"/>
        <v>0</v>
      </c>
      <c r="X149" s="271">
        <f t="shared" ref="X149:Y149" si="132">X44 * (1 - X$119)</f>
        <v>0</v>
      </c>
      <c r="Y149" s="271">
        <f t="shared" si="132"/>
        <v>0</v>
      </c>
      <c r="Z149" s="256"/>
      <c r="AA149" s="256"/>
    </row>
    <row r="150" spans="3:27" x14ac:dyDescent="0.35">
      <c r="F150" t="s">
        <v>199</v>
      </c>
      <c r="G150" t="s">
        <v>269</v>
      </c>
      <c r="H150" s="256"/>
      <c r="I150" s="256"/>
      <c r="J150" s="271">
        <f t="shared" ref="J150:K150" si="133">J45 * (1 - J$120)</f>
        <v>0</v>
      </c>
      <c r="K150" s="271">
        <f t="shared" si="133"/>
        <v>0</v>
      </c>
      <c r="L150" s="271">
        <f t="shared" ref="L150:M150" si="134">L45 * (1 - L$120)</f>
        <v>0</v>
      </c>
      <c r="M150" s="271">
        <f t="shared" si="134"/>
        <v>0</v>
      </c>
      <c r="N150" s="271">
        <f t="shared" ref="N150:P150" si="135">N45 * (1 - N$120)</f>
        <v>0</v>
      </c>
      <c r="O150" s="271">
        <f t="shared" si="135"/>
        <v>0</v>
      </c>
      <c r="P150" s="271">
        <f t="shared" si="135"/>
        <v>0</v>
      </c>
      <c r="Q150" s="271">
        <f t="shared" ref="Q150:S150" si="136">Q45 * (1 - Q$120)</f>
        <v>1.9630845702256738</v>
      </c>
      <c r="R150" s="271">
        <f t="shared" si="136"/>
        <v>0</v>
      </c>
      <c r="S150" s="271">
        <f t="shared" si="136"/>
        <v>0</v>
      </c>
      <c r="T150" s="271">
        <f t="shared" ref="T150:U150" si="137">T45 * (1 - T$120)</f>
        <v>0</v>
      </c>
      <c r="U150" s="271">
        <f t="shared" si="137"/>
        <v>0</v>
      </c>
      <c r="V150" s="271">
        <f t="shared" ref="V150:W150" si="138">V45 * (1 - V$120)</f>
        <v>0</v>
      </c>
      <c r="W150" s="271">
        <f t="shared" si="138"/>
        <v>0</v>
      </c>
      <c r="X150" s="271">
        <f t="shared" ref="X150:Y150" si="139">X45 * (1 - X$120)</f>
        <v>0</v>
      </c>
      <c r="Y150" s="271">
        <f t="shared" si="139"/>
        <v>0</v>
      </c>
      <c r="Z150" s="256"/>
      <c r="AA150" s="256"/>
    </row>
    <row r="151" spans="3:27" x14ac:dyDescent="0.35">
      <c r="D151"/>
      <c r="F151" s="19" t="s">
        <v>375</v>
      </c>
      <c r="G151" s="19" t="s">
        <v>269</v>
      </c>
      <c r="H151" s="255"/>
      <c r="I151" s="255" t="s">
        <v>154</v>
      </c>
      <c r="J151" s="269"/>
      <c r="K151" s="269"/>
      <c r="L151" s="269"/>
      <c r="M151" s="269"/>
      <c r="N151" s="269"/>
      <c r="O151" s="269"/>
      <c r="P151" s="269"/>
      <c r="Q151" s="270">
        <f t="shared" ref="Q151" si="140">Q46</f>
        <v>2.8663816719090116</v>
      </c>
      <c r="R151" s="269"/>
      <c r="S151" s="269"/>
      <c r="T151" s="269"/>
      <c r="U151" s="269"/>
      <c r="V151" s="269"/>
      <c r="W151" s="269"/>
      <c r="X151" s="269"/>
      <c r="Y151" s="269"/>
      <c r="Z151" s="256"/>
      <c r="AA151" s="256" t="s">
        <v>653</v>
      </c>
    </row>
    <row r="152" spans="3:27" x14ac:dyDescent="0.35">
      <c r="D152"/>
      <c r="F152" s="28" t="s">
        <v>376</v>
      </c>
      <c r="G152" s="28" t="s">
        <v>269</v>
      </c>
      <c r="H152" s="258"/>
      <c r="I152" s="258"/>
      <c r="J152" s="259"/>
      <c r="K152" s="259"/>
      <c r="L152" s="259"/>
      <c r="M152" s="259"/>
      <c r="N152" s="259"/>
      <c r="O152" s="259"/>
      <c r="P152" s="259"/>
      <c r="Q152" s="259"/>
      <c r="R152" s="259"/>
      <c r="S152" s="259"/>
      <c r="T152" s="259"/>
      <c r="U152" s="259"/>
      <c r="V152" s="259"/>
      <c r="W152" s="259"/>
      <c r="X152" s="259"/>
      <c r="Y152" s="259"/>
      <c r="Z152" s="256"/>
      <c r="AA152" s="256"/>
    </row>
    <row r="153" spans="3:27" x14ac:dyDescent="0.35">
      <c r="E153"/>
      <c r="J153" s="79"/>
      <c r="K153" s="79"/>
      <c r="L153" s="79"/>
      <c r="M153" s="79"/>
      <c r="N153" s="79"/>
      <c r="O153" s="79"/>
      <c r="P153" s="79"/>
      <c r="Q153" s="79"/>
      <c r="R153" s="79"/>
      <c r="S153" s="79"/>
      <c r="T153" s="79"/>
      <c r="U153" s="79"/>
      <c r="V153" s="79"/>
      <c r="W153" s="79"/>
      <c r="X153" s="79"/>
      <c r="Y153" s="79"/>
    </row>
    <row r="154" spans="3:27" x14ac:dyDescent="0.35">
      <c r="C154" s="26" t="str">
        <f ca="1">INDEX('Version control'!$H$38:$H$61,MATCH($A$1,'Version control'!$F$38:$F$61,0),1)&amp;"-F: Contributions to unit rate 2 p/kWh by network level (taking account of standing charges)"</f>
        <v>Section 111-F: Contributions to unit rate 2 p/kWh by network level (taking account of standing charges)</v>
      </c>
      <c r="D154" s="26"/>
      <c r="E154" s="26"/>
      <c r="F154" s="26"/>
      <c r="G154" s="26"/>
      <c r="H154" s="26"/>
      <c r="I154" s="26"/>
      <c r="J154" s="80"/>
      <c r="K154" s="80"/>
      <c r="L154" s="80"/>
      <c r="M154" s="80"/>
      <c r="N154" s="80"/>
      <c r="O154" s="80"/>
      <c r="P154" s="80"/>
      <c r="Q154" s="80"/>
      <c r="R154" s="80"/>
      <c r="S154" s="80"/>
      <c r="T154" s="80"/>
      <c r="U154" s="80"/>
      <c r="V154" s="80"/>
      <c r="W154" s="80"/>
      <c r="X154" s="80"/>
      <c r="Y154" s="80"/>
      <c r="Z154" s="26"/>
      <c r="AA154" s="26"/>
    </row>
    <row r="155" spans="3:27" x14ac:dyDescent="0.35">
      <c r="C155" s="27"/>
      <c r="D155" s="27"/>
      <c r="E155"/>
      <c r="I155" t="s">
        <v>154</v>
      </c>
      <c r="J155" s="79"/>
      <c r="K155" s="79"/>
      <c r="L155" s="79"/>
      <c r="M155" s="79"/>
      <c r="N155" s="79"/>
      <c r="O155" s="79"/>
      <c r="P155" s="79"/>
      <c r="Q155" s="79"/>
      <c r="R155" s="79"/>
      <c r="S155" s="79"/>
      <c r="T155" s="79"/>
      <c r="U155" s="79"/>
      <c r="V155" s="79"/>
      <c r="W155" s="79"/>
      <c r="X155" s="79"/>
      <c r="Y155" s="79"/>
      <c r="AA155" t="s">
        <v>655</v>
      </c>
    </row>
    <row r="156" spans="3:27" x14ac:dyDescent="0.35">
      <c r="E156" s="27" t="s">
        <v>620</v>
      </c>
      <c r="J156" s="79"/>
      <c r="K156" s="79"/>
      <c r="L156" s="79"/>
      <c r="M156" s="79"/>
      <c r="N156" s="79"/>
      <c r="O156" s="79"/>
      <c r="P156" s="79"/>
      <c r="Q156" s="79"/>
      <c r="R156" s="79"/>
      <c r="S156" s="79"/>
      <c r="T156" s="79"/>
      <c r="U156" s="79"/>
      <c r="V156" s="79"/>
      <c r="W156" s="79"/>
      <c r="X156" s="79"/>
      <c r="Y156" s="79"/>
    </row>
    <row r="157" spans="3:27" x14ac:dyDescent="0.35">
      <c r="F157" s="19" t="s">
        <v>189</v>
      </c>
      <c r="G157" s="19" t="s">
        <v>269</v>
      </c>
      <c r="H157" s="255"/>
      <c r="I157" s="255"/>
      <c r="J157" s="404">
        <f t="shared" ref="J157:K157" si="141">J52 * (1 - J$112)</f>
        <v>0</v>
      </c>
      <c r="K157" s="404">
        <f t="shared" si="141"/>
        <v>0</v>
      </c>
      <c r="L157" s="404">
        <f t="shared" ref="L157:M157" si="142">L52 * (1 - L$112)</f>
        <v>0</v>
      </c>
      <c r="M157" s="404">
        <f t="shared" si="142"/>
        <v>0</v>
      </c>
      <c r="N157" s="404">
        <f t="shared" ref="N157:P157" si="143">N52 * (1 - N$112)</f>
        <v>0</v>
      </c>
      <c r="O157" s="404">
        <f t="shared" si="143"/>
        <v>0</v>
      </c>
      <c r="P157" s="404">
        <f t="shared" si="143"/>
        <v>0</v>
      </c>
      <c r="Q157" s="404">
        <f t="shared" ref="Q157:S157" si="144">Q52 * (1 - Q$112)</f>
        <v>0</v>
      </c>
      <c r="R157" s="404">
        <f t="shared" si="144"/>
        <v>0</v>
      </c>
      <c r="S157" s="404">
        <f t="shared" si="144"/>
        <v>0</v>
      </c>
      <c r="T157" s="404">
        <f t="shared" ref="T157:U157" si="145">T52 * (1 - T$112)</f>
        <v>0</v>
      </c>
      <c r="U157" s="404">
        <f t="shared" si="145"/>
        <v>0</v>
      </c>
      <c r="V157" s="404">
        <f t="shared" ref="V157:W157" si="146">V52 * (1 - V$112)</f>
        <v>0</v>
      </c>
      <c r="W157" s="404">
        <f t="shared" si="146"/>
        <v>0</v>
      </c>
      <c r="X157" s="404">
        <f t="shared" ref="X157:Y157" si="147">X52 * (1 - X$112)</f>
        <v>0</v>
      </c>
      <c r="Y157" s="404">
        <f t="shared" si="147"/>
        <v>0</v>
      </c>
      <c r="Z157" s="256"/>
      <c r="AA157" s="256"/>
    </row>
    <row r="158" spans="3:27" x14ac:dyDescent="0.35">
      <c r="F158" t="s">
        <v>191</v>
      </c>
      <c r="G158" t="s">
        <v>269</v>
      </c>
      <c r="H158" s="256"/>
      <c r="I158" s="256"/>
      <c r="J158" s="271">
        <f t="shared" ref="J158:K158" si="148">J53 * (1 - J$112)</f>
        <v>0</v>
      </c>
      <c r="K158" s="271">
        <f t="shared" si="148"/>
        <v>0</v>
      </c>
      <c r="L158" s="271">
        <f t="shared" ref="L158:M158" si="149">L53 * (1 - L$112)</f>
        <v>0</v>
      </c>
      <c r="M158" s="271">
        <f t="shared" si="149"/>
        <v>0</v>
      </c>
      <c r="N158" s="271">
        <f t="shared" ref="N158:P158" si="150">N53 * (1 - N$112)</f>
        <v>0</v>
      </c>
      <c r="O158" s="271">
        <f t="shared" si="150"/>
        <v>0</v>
      </c>
      <c r="P158" s="271">
        <f t="shared" si="150"/>
        <v>0</v>
      </c>
      <c r="Q158" s="271">
        <f t="shared" ref="Q158:S158" si="151">Q53 * (1 - Q$112)</f>
        <v>0</v>
      </c>
      <c r="R158" s="271">
        <f t="shared" si="151"/>
        <v>0</v>
      </c>
      <c r="S158" s="271">
        <f t="shared" si="151"/>
        <v>0</v>
      </c>
      <c r="T158" s="271">
        <f t="shared" ref="T158:U158" si="152">T53 * (1 - T$112)</f>
        <v>0</v>
      </c>
      <c r="U158" s="271">
        <f t="shared" si="152"/>
        <v>0</v>
      </c>
      <c r="V158" s="271">
        <f t="shared" ref="V158:W158" si="153">V53 * (1 - V$112)</f>
        <v>0</v>
      </c>
      <c r="W158" s="271">
        <f t="shared" si="153"/>
        <v>0</v>
      </c>
      <c r="X158" s="271">
        <f t="shared" ref="X158:Y158" si="154">X53 * (1 - X$112)</f>
        <v>0</v>
      </c>
      <c r="Y158" s="271">
        <f t="shared" si="154"/>
        <v>0</v>
      </c>
      <c r="Z158" s="256"/>
      <c r="AA158" s="256"/>
    </row>
    <row r="159" spans="3:27" x14ac:dyDescent="0.35">
      <c r="F159" t="s">
        <v>192</v>
      </c>
      <c r="G159" t="s">
        <v>269</v>
      </c>
      <c r="H159" s="256"/>
      <c r="I159" s="256"/>
      <c r="J159" s="271">
        <f t="shared" ref="J159:K159" si="155">J54 * (1 - J$113)</f>
        <v>9.7267410910689162E-2</v>
      </c>
      <c r="K159" s="271">
        <f t="shared" si="155"/>
        <v>9.7267410910689162E-2</v>
      </c>
      <c r="L159" s="271">
        <f t="shared" ref="L159:M159" si="156">L54 * (1 - L$113)</f>
        <v>9.0985437844128284E-2</v>
      </c>
      <c r="M159" s="271">
        <f t="shared" si="156"/>
        <v>9.0985437844128284E-2</v>
      </c>
      <c r="N159" s="271">
        <f t="shared" ref="N159:P159" si="157">N54 * (1 - N$113)</f>
        <v>8.0034499417979438E-2</v>
      </c>
      <c r="O159" s="271">
        <f t="shared" si="157"/>
        <v>6.5108200845814812E-2</v>
      </c>
      <c r="P159" s="271">
        <f t="shared" si="157"/>
        <v>6.6012677397610492E-2</v>
      </c>
      <c r="Q159" s="271">
        <f t="shared" ref="Q159:S159" si="158">Q54 * (1 - Q$113)</f>
        <v>7.9304438521386938E-2</v>
      </c>
      <c r="R159" s="271">
        <f t="shared" si="158"/>
        <v>-6.7514370970038623E-2</v>
      </c>
      <c r="S159" s="271">
        <f t="shared" si="158"/>
        <v>-6.4603200845642458E-2</v>
      </c>
      <c r="T159" s="271">
        <f t="shared" ref="T159:U159" si="159">T54 * (1 - T$113)</f>
        <v>-6.7514370970038623E-2</v>
      </c>
      <c r="U159" s="271">
        <f t="shared" si="159"/>
        <v>-6.7514370970038623E-2</v>
      </c>
      <c r="V159" s="271">
        <f t="shared" ref="V159:W159" si="160">V54 * (1 - V$113)</f>
        <v>-6.4603200845642458E-2</v>
      </c>
      <c r="W159" s="271">
        <f t="shared" si="160"/>
        <v>-6.4603200845642458E-2</v>
      </c>
      <c r="X159" s="271">
        <f t="shared" ref="X159:Y159" si="161">X54 * (1 - X$113)</f>
        <v>-6.3612164207550143E-2</v>
      </c>
      <c r="Y159" s="271">
        <f t="shared" si="161"/>
        <v>-6.3612164207550143E-2</v>
      </c>
      <c r="Z159" s="256"/>
      <c r="AA159" s="256"/>
    </row>
    <row r="160" spans="3:27" x14ac:dyDescent="0.35">
      <c r="F160" t="s">
        <v>193</v>
      </c>
      <c r="G160" t="s">
        <v>269</v>
      </c>
      <c r="H160" s="256"/>
      <c r="I160" s="256"/>
      <c r="J160" s="271">
        <f t="shared" ref="J160:K160" si="162">J55 * (1 - J$114)</f>
        <v>2.5167734851741643E-2</v>
      </c>
      <c r="K160" s="271">
        <f t="shared" si="162"/>
        <v>2.5167734851741643E-2</v>
      </c>
      <c r="L160" s="271">
        <f t="shared" ref="L160:M160" si="163">L55 * (1 - L$114)</f>
        <v>2.3542287736364461E-2</v>
      </c>
      <c r="M160" s="271">
        <f t="shared" si="163"/>
        <v>2.3542287736364461E-2</v>
      </c>
      <c r="N160" s="271">
        <f t="shared" ref="N160:P160" si="164">N55 * (1 - N$114)</f>
        <v>2.0708755805097907E-2</v>
      </c>
      <c r="O160" s="271">
        <f t="shared" si="164"/>
        <v>1.6846607925711035E-2</v>
      </c>
      <c r="P160" s="271">
        <f t="shared" si="164"/>
        <v>1.7080639301914859E-2</v>
      </c>
      <c r="Q160" s="271">
        <f t="shared" ref="Q160:S160" si="165">Q55 * (1 - Q$114)</f>
        <v>2.0519854107200999E-2</v>
      </c>
      <c r="R160" s="271">
        <f t="shared" si="165"/>
        <v>-1.7469199306808365E-2</v>
      </c>
      <c r="S160" s="271">
        <f t="shared" si="165"/>
        <v>-1.671594025412947E-2</v>
      </c>
      <c r="T160" s="271">
        <f t="shared" ref="T160:U160" si="166">T55 * (1 - T$114)</f>
        <v>-1.7469199306808365E-2</v>
      </c>
      <c r="U160" s="271">
        <f t="shared" si="166"/>
        <v>-1.7469199306808365E-2</v>
      </c>
      <c r="V160" s="271">
        <f t="shared" ref="V160:W160" si="167">V55 * (1 - V$114)</f>
        <v>-1.671594025412947E-2</v>
      </c>
      <c r="W160" s="271">
        <f t="shared" si="167"/>
        <v>-1.671594025412947E-2</v>
      </c>
      <c r="X160" s="271">
        <f t="shared" ref="X160:Y160" si="168">X55 * (1 - X$114)</f>
        <v>-1.6459511640451546E-2</v>
      </c>
      <c r="Y160" s="271">
        <f t="shared" si="168"/>
        <v>-1.6459511640451546E-2</v>
      </c>
      <c r="Z160" s="256"/>
      <c r="AA160" s="256"/>
    </row>
    <row r="161" spans="4:27" x14ac:dyDescent="0.35">
      <c r="F161" t="s">
        <v>194</v>
      </c>
      <c r="G161" t="s">
        <v>269</v>
      </c>
      <c r="H161" s="256"/>
      <c r="I161" s="256"/>
      <c r="J161" s="271">
        <f t="shared" ref="J161:K161" si="169">J56 * (1 - J$115)</f>
        <v>0.10134289336074935</v>
      </c>
      <c r="K161" s="271">
        <f t="shared" si="169"/>
        <v>0.10134289336074935</v>
      </c>
      <c r="L161" s="271">
        <f t="shared" ref="L161:M161" si="170">L56 * (1 - L$115)</f>
        <v>9.4797707047893379E-2</v>
      </c>
      <c r="M161" s="271">
        <f t="shared" si="170"/>
        <v>9.4797707047893379E-2</v>
      </c>
      <c r="N161" s="271">
        <f t="shared" ref="N161:P161" si="171">N56 * (1 - N$115)</f>
        <v>8.3387926786132868E-2</v>
      </c>
      <c r="O161" s="271">
        <f t="shared" si="171"/>
        <v>6.7836219690130026E-2</v>
      </c>
      <c r="P161" s="271">
        <f t="shared" si="171"/>
        <v>5.3788277247444831E-2</v>
      </c>
      <c r="Q161" s="271">
        <f t="shared" ref="Q161:S161" si="172">Q56 * (1 - Q$115)</f>
        <v>7.7388329627599034E-2</v>
      </c>
      <c r="R161" s="271">
        <f t="shared" si="172"/>
        <v>-7.0343207796670026E-2</v>
      </c>
      <c r="S161" s="271">
        <f t="shared" si="172"/>
        <v>-6.7310060304520011E-2</v>
      </c>
      <c r="T161" s="271">
        <f t="shared" ref="T161:U161" si="173">T56 * (1 - T$115)</f>
        <v>-7.0343207796670026E-2</v>
      </c>
      <c r="U161" s="271">
        <f t="shared" si="173"/>
        <v>-7.0343207796670026E-2</v>
      </c>
      <c r="V161" s="271">
        <f t="shared" ref="V161:W161" si="174">V56 * (1 - V$115)</f>
        <v>-6.7310060304520011E-2</v>
      </c>
      <c r="W161" s="271">
        <f t="shared" si="174"/>
        <v>-6.7310060304520011E-2</v>
      </c>
      <c r="X161" s="271">
        <f t="shared" ref="X161:Y161" si="175">X56 * (1 - X$115)</f>
        <v>-6.4790371705737426E-2</v>
      </c>
      <c r="Y161" s="271">
        <f t="shared" si="175"/>
        <v>-6.4790371705737426E-2</v>
      </c>
      <c r="Z161" s="256"/>
      <c r="AA161" s="256"/>
    </row>
    <row r="162" spans="4:27" x14ac:dyDescent="0.35">
      <c r="F162" t="s">
        <v>195</v>
      </c>
      <c r="G162" t="s">
        <v>269</v>
      </c>
      <c r="H162" s="256"/>
      <c r="I162" s="256"/>
      <c r="J162" s="271">
        <f t="shared" ref="J162:K162" si="176">J57 * (1 - J$116)</f>
        <v>7.0825918681767311E-2</v>
      </c>
      <c r="K162" s="271">
        <f t="shared" si="176"/>
        <v>7.0825918681767311E-2</v>
      </c>
      <c r="L162" s="271">
        <f t="shared" ref="L162:M162" si="177">L57 * (1 - L$116)</f>
        <v>6.6251657792045213E-2</v>
      </c>
      <c r="M162" s="271">
        <f t="shared" si="177"/>
        <v>6.6251657792045213E-2</v>
      </c>
      <c r="N162" s="271">
        <f t="shared" ref="N162:P162" si="178">N57 * (1 - N$116)</f>
        <v>5.827765841036512E-2</v>
      </c>
      <c r="O162" s="271">
        <f t="shared" si="178"/>
        <v>4.7408973832520192E-2</v>
      </c>
      <c r="P162" s="271">
        <f t="shared" si="178"/>
        <v>0</v>
      </c>
      <c r="Q162" s="271">
        <f t="shared" ref="Q162:S162" si="179">Q57 * (1 - Q$116)</f>
        <v>5.4084695624498427E-2</v>
      </c>
      <c r="R162" s="271">
        <f t="shared" si="179"/>
        <v>-4.9161042772745744E-2</v>
      </c>
      <c r="S162" s="271">
        <f t="shared" si="179"/>
        <v>-4.7041254689884224E-2</v>
      </c>
      <c r="T162" s="271">
        <f t="shared" ref="T162:U162" si="180">T57 * (1 - T$116)</f>
        <v>-4.9161042772745744E-2</v>
      </c>
      <c r="U162" s="271">
        <f t="shared" si="180"/>
        <v>-4.9161042772745744E-2</v>
      </c>
      <c r="V162" s="271">
        <f t="shared" ref="V162:W162" si="181">V57 * (1 - V$116)</f>
        <v>-4.7041254689884224E-2</v>
      </c>
      <c r="W162" s="271">
        <f t="shared" si="181"/>
        <v>-4.7041254689884224E-2</v>
      </c>
      <c r="X162" s="271">
        <f t="shared" ref="X162:Y162" si="182">X57 * (1 - X$116)</f>
        <v>-4.4326488425444156E-2</v>
      </c>
      <c r="Y162" s="271">
        <f t="shared" si="182"/>
        <v>-4.4326488425444156E-2</v>
      </c>
      <c r="Z162" s="256"/>
      <c r="AA162" s="256"/>
    </row>
    <row r="163" spans="4:27" x14ac:dyDescent="0.35">
      <c r="F163" t="s">
        <v>196</v>
      </c>
      <c r="G163" t="s">
        <v>269</v>
      </c>
      <c r="H163" s="256"/>
      <c r="I163" s="256"/>
      <c r="J163" s="271">
        <f t="shared" ref="J163:K163" si="183">J58 * (1 - J$117)</f>
        <v>0</v>
      </c>
      <c r="K163" s="271">
        <f t="shared" si="183"/>
        <v>0</v>
      </c>
      <c r="L163" s="271">
        <f t="shared" ref="L163:M163" si="184">L58 * (1 - L$117)</f>
        <v>0</v>
      </c>
      <c r="M163" s="271">
        <f t="shared" si="184"/>
        <v>0</v>
      </c>
      <c r="N163" s="271">
        <f t="shared" ref="N163:P163" si="185">N58 * (1 - N$117)</f>
        <v>0</v>
      </c>
      <c r="O163" s="271">
        <f t="shared" si="185"/>
        <v>0</v>
      </c>
      <c r="P163" s="271">
        <f t="shared" si="185"/>
        <v>0</v>
      </c>
      <c r="Q163" s="271">
        <f t="shared" ref="Q163:S163" si="186">Q58 * (1 - Q$117)</f>
        <v>0</v>
      </c>
      <c r="R163" s="271">
        <f t="shared" si="186"/>
        <v>0</v>
      </c>
      <c r="S163" s="271">
        <f t="shared" si="186"/>
        <v>0</v>
      </c>
      <c r="T163" s="271">
        <f t="shared" ref="T163:U163" si="187">T58 * (1 - T$117)</f>
        <v>0</v>
      </c>
      <c r="U163" s="271">
        <f t="shared" si="187"/>
        <v>0</v>
      </c>
      <c r="V163" s="271">
        <f t="shared" ref="V163:W163" si="188">V58 * (1 - V$117)</f>
        <v>0</v>
      </c>
      <c r="W163" s="271">
        <f t="shared" si="188"/>
        <v>0</v>
      </c>
      <c r="X163" s="271">
        <f t="shared" ref="X163:Y163" si="189">X58 * (1 - X$117)</f>
        <v>0</v>
      </c>
      <c r="Y163" s="271">
        <f t="shared" si="189"/>
        <v>0</v>
      </c>
      <c r="Z163" s="256"/>
      <c r="AA163" s="256"/>
    </row>
    <row r="164" spans="4:27" x14ac:dyDescent="0.35">
      <c r="F164" t="s">
        <v>197</v>
      </c>
      <c r="G164" t="s">
        <v>269</v>
      </c>
      <c r="H164" s="256"/>
      <c r="I164" s="256"/>
      <c r="J164" s="271">
        <f t="shared" ref="J164:K164" si="190">J59 * (1 - J$118)</f>
        <v>0.24647577519482156</v>
      </c>
      <c r="K164" s="271">
        <f t="shared" si="190"/>
        <v>0.24647577519482156</v>
      </c>
      <c r="L164" s="271">
        <f t="shared" ref="L164:M164" si="191">L59 * (1 - L$118)</f>
        <v>0.23055724537237895</v>
      </c>
      <c r="M164" s="271">
        <f t="shared" si="191"/>
        <v>0.23055724537237895</v>
      </c>
      <c r="N164" s="271">
        <f t="shared" ref="N164:P164" si="192">N59 * (1 - N$118)</f>
        <v>0.16224603987445615</v>
      </c>
      <c r="O164" s="271">
        <f t="shared" si="192"/>
        <v>0</v>
      </c>
      <c r="P164" s="271">
        <f t="shared" si="192"/>
        <v>0</v>
      </c>
      <c r="Q164" s="271">
        <f t="shared" ref="Q164:S164" si="193">Q59 * (1 - Q$118)</f>
        <v>0.18209562303668567</v>
      </c>
      <c r="R164" s="271">
        <f t="shared" si="193"/>
        <v>-0.17108152428268558</v>
      </c>
      <c r="S164" s="271">
        <f t="shared" si="193"/>
        <v>-0.16370461452003765</v>
      </c>
      <c r="T164" s="271">
        <f t="shared" ref="T164:U164" si="194">T59 * (1 - T$118)</f>
        <v>-0.17108152428268558</v>
      </c>
      <c r="U164" s="271">
        <f t="shared" si="194"/>
        <v>-0.17108152428268558</v>
      </c>
      <c r="V164" s="271">
        <f t="shared" ref="V164:W164" si="195">V59 * (1 - V$118)</f>
        <v>-0.16370461452003765</v>
      </c>
      <c r="W164" s="271">
        <f t="shared" si="195"/>
        <v>-0.16370461452003765</v>
      </c>
      <c r="X164" s="271">
        <f t="shared" ref="X164:Y164" si="196">X59 * (1 - X$118)</f>
        <v>0</v>
      </c>
      <c r="Y164" s="271">
        <f t="shared" si="196"/>
        <v>0</v>
      </c>
      <c r="Z164" s="256"/>
      <c r="AA164" s="256"/>
    </row>
    <row r="165" spans="4:27" x14ac:dyDescent="0.35">
      <c r="F165" t="s">
        <v>198</v>
      </c>
      <c r="G165" t="s">
        <v>269</v>
      </c>
      <c r="H165" s="256"/>
      <c r="I165" s="256"/>
      <c r="J165" s="271">
        <f t="shared" ref="J165:K165" si="197">J60 * (1 - J$119)</f>
        <v>8.3153330432957362E-2</v>
      </c>
      <c r="K165" s="271">
        <f t="shared" si="197"/>
        <v>8.3153330432957362E-2</v>
      </c>
      <c r="L165" s="271">
        <f t="shared" ref="L165:M165" si="198">L60 * (1 - L$119)</f>
        <v>7.7782909062799638E-2</v>
      </c>
      <c r="M165" s="271">
        <f t="shared" si="198"/>
        <v>7.7782909062799638E-2</v>
      </c>
      <c r="N165" s="271">
        <f t="shared" ref="N165:P165" si="199">N60 * (1 - N$119)</f>
        <v>0</v>
      </c>
      <c r="O165" s="271">
        <f t="shared" si="199"/>
        <v>0</v>
      </c>
      <c r="P165" s="271">
        <f t="shared" si="199"/>
        <v>0</v>
      </c>
      <c r="Q165" s="271">
        <f t="shared" ref="Q165:S165" si="200">Q60 * (1 - Q$119)</f>
        <v>6.1433451221712176E-2</v>
      </c>
      <c r="R165" s="271">
        <f t="shared" si="200"/>
        <v>-5.7717633744766725E-2</v>
      </c>
      <c r="S165" s="271">
        <f t="shared" si="200"/>
        <v>0</v>
      </c>
      <c r="T165" s="271">
        <f t="shared" ref="T165:U165" si="201">T60 * (1 - T$119)</f>
        <v>-5.7717633744766725E-2</v>
      </c>
      <c r="U165" s="271">
        <f t="shared" si="201"/>
        <v>-5.7717633744766725E-2</v>
      </c>
      <c r="V165" s="271">
        <f t="shared" ref="V165:W165" si="202">V60 * (1 - V$119)</f>
        <v>0</v>
      </c>
      <c r="W165" s="271">
        <f t="shared" si="202"/>
        <v>0</v>
      </c>
      <c r="X165" s="271">
        <f t="shared" ref="X165:Y165" si="203">X60 * (1 - X$119)</f>
        <v>0</v>
      </c>
      <c r="Y165" s="271">
        <f t="shared" si="203"/>
        <v>0</v>
      </c>
      <c r="Z165" s="256"/>
      <c r="AA165" s="256"/>
    </row>
    <row r="166" spans="4:27" x14ac:dyDescent="0.35">
      <c r="F166" t="s">
        <v>199</v>
      </c>
      <c r="G166" t="s">
        <v>269</v>
      </c>
      <c r="H166" s="256"/>
      <c r="I166" s="256"/>
      <c r="J166" s="271">
        <f t="shared" ref="J166:K166" si="204">J61 * (1 - J$120)</f>
        <v>0</v>
      </c>
      <c r="K166" s="271">
        <f t="shared" si="204"/>
        <v>0</v>
      </c>
      <c r="L166" s="271">
        <f t="shared" ref="L166:M166" si="205">L61 * (1 - L$120)</f>
        <v>0</v>
      </c>
      <c r="M166" s="271">
        <f t="shared" si="205"/>
        <v>0</v>
      </c>
      <c r="N166" s="271">
        <f t="shared" ref="N166:P166" si="206">N61 * (1 - N$120)</f>
        <v>0</v>
      </c>
      <c r="O166" s="271">
        <f t="shared" si="206"/>
        <v>0</v>
      </c>
      <c r="P166" s="271">
        <f t="shared" si="206"/>
        <v>0</v>
      </c>
      <c r="Q166" s="271">
        <f t="shared" ref="Q166:S166" si="207">Q61 * (1 - Q$120)</f>
        <v>1.2127988172567588E-2</v>
      </c>
      <c r="R166" s="271">
        <f t="shared" si="207"/>
        <v>0</v>
      </c>
      <c r="S166" s="271">
        <f t="shared" si="207"/>
        <v>0</v>
      </c>
      <c r="T166" s="271">
        <f t="shared" ref="T166:U166" si="208">T61 * (1 - T$120)</f>
        <v>0</v>
      </c>
      <c r="U166" s="271">
        <f t="shared" si="208"/>
        <v>0</v>
      </c>
      <c r="V166" s="271">
        <f t="shared" ref="V166:W166" si="209">V61 * (1 - V$120)</f>
        <v>0</v>
      </c>
      <c r="W166" s="271">
        <f t="shared" si="209"/>
        <v>0</v>
      </c>
      <c r="X166" s="271">
        <f t="shared" ref="X166:Y166" si="210">X61 * (1 - X$120)</f>
        <v>0</v>
      </c>
      <c r="Y166" s="271">
        <f t="shared" si="210"/>
        <v>0</v>
      </c>
      <c r="Z166" s="256"/>
      <c r="AA166" s="256"/>
    </row>
    <row r="167" spans="4:27" x14ac:dyDescent="0.35">
      <c r="D167"/>
      <c r="F167" s="19" t="s">
        <v>375</v>
      </c>
      <c r="G167" s="19" t="s">
        <v>269</v>
      </c>
      <c r="H167" s="255"/>
      <c r="I167" s="255"/>
      <c r="J167" s="269"/>
      <c r="K167" s="269"/>
      <c r="L167" s="269"/>
      <c r="M167" s="269"/>
      <c r="N167" s="269"/>
      <c r="O167" s="269"/>
      <c r="P167" s="269"/>
      <c r="Q167" s="269"/>
      <c r="R167" s="269"/>
      <c r="S167" s="269"/>
      <c r="T167" s="269"/>
      <c r="U167" s="269"/>
      <c r="V167" s="269"/>
      <c r="W167" s="269"/>
      <c r="X167" s="269"/>
      <c r="Y167" s="269"/>
      <c r="Z167" s="256"/>
      <c r="AA167" s="256"/>
    </row>
    <row r="168" spans="4:27" x14ac:dyDescent="0.35">
      <c r="D168"/>
      <c r="F168" s="28" t="s">
        <v>376</v>
      </c>
      <c r="G168" s="28" t="s">
        <v>269</v>
      </c>
      <c r="H168" s="258"/>
      <c r="I168" s="258"/>
      <c r="J168" s="259"/>
      <c r="K168" s="259"/>
      <c r="L168" s="259"/>
      <c r="M168" s="259"/>
      <c r="N168" s="259"/>
      <c r="O168" s="259"/>
      <c r="P168" s="259"/>
      <c r="Q168" s="259"/>
      <c r="R168" s="259"/>
      <c r="S168" s="259"/>
      <c r="T168" s="259"/>
      <c r="U168" s="259"/>
      <c r="V168" s="259"/>
      <c r="W168" s="259"/>
      <c r="X168" s="259"/>
      <c r="Y168" s="259"/>
      <c r="Z168" s="256"/>
      <c r="AA168" s="256"/>
    </row>
    <row r="169" spans="4:27" x14ac:dyDescent="0.35">
      <c r="D169"/>
      <c r="J169" s="79"/>
      <c r="K169" s="79"/>
      <c r="L169" s="79"/>
      <c r="M169" s="79"/>
      <c r="N169" s="79"/>
      <c r="O169" s="79"/>
      <c r="P169" s="79"/>
      <c r="Q169" s="79"/>
      <c r="R169" s="79"/>
      <c r="S169" s="79"/>
      <c r="T169" s="79"/>
      <c r="U169" s="79"/>
      <c r="V169" s="79"/>
      <c r="W169" s="79"/>
      <c r="X169" s="79"/>
      <c r="Y169" s="79"/>
    </row>
    <row r="170" spans="4:27" x14ac:dyDescent="0.35">
      <c r="E170" s="27" t="s">
        <v>621</v>
      </c>
      <c r="J170" s="79"/>
      <c r="K170" s="79"/>
      <c r="L170" s="79"/>
      <c r="M170" s="79"/>
      <c r="N170" s="79"/>
      <c r="O170" s="79"/>
      <c r="P170" s="79"/>
      <c r="Q170" s="79"/>
      <c r="R170" s="79"/>
      <c r="S170" s="79"/>
      <c r="T170" s="79"/>
      <c r="U170" s="79"/>
      <c r="V170" s="79"/>
      <c r="W170" s="79"/>
      <c r="X170" s="79"/>
      <c r="Y170" s="79"/>
    </row>
    <row r="171" spans="4:27" x14ac:dyDescent="0.35">
      <c r="F171" s="19" t="s">
        <v>189</v>
      </c>
      <c r="G171" s="19" t="s">
        <v>269</v>
      </c>
      <c r="H171" s="255"/>
      <c r="I171" s="255"/>
      <c r="J171" s="404">
        <f t="shared" ref="J171:K171" si="211">J66 * (1 - J$112)</f>
        <v>1.5245074587689362E-2</v>
      </c>
      <c r="K171" s="404">
        <f t="shared" si="211"/>
        <v>1.5245074587689362E-2</v>
      </c>
      <c r="L171" s="404">
        <f t="shared" ref="L171:M171" si="212">L66 * (1 - L$112)</f>
        <v>1.426047813281393E-2</v>
      </c>
      <c r="M171" s="404">
        <f t="shared" si="212"/>
        <v>1.426047813281393E-2</v>
      </c>
      <c r="N171" s="404">
        <f t="shared" ref="N171:P171" si="213">N66 * (1 - N$112)</f>
        <v>1.2544097779427905E-2</v>
      </c>
      <c r="O171" s="404">
        <f t="shared" si="213"/>
        <v>1.0204644791831582E-2</v>
      </c>
      <c r="P171" s="404">
        <f t="shared" si="213"/>
        <v>1.0346406686857264E-2</v>
      </c>
      <c r="Q171" s="404">
        <f t="shared" ref="Q171:S171" si="214">Q66 * (1 - Q$112)</f>
        <v>2.4178941250542197E-2</v>
      </c>
      <c r="R171" s="404">
        <f t="shared" si="214"/>
        <v>-1.0581772574621475E-2</v>
      </c>
      <c r="S171" s="404">
        <f t="shared" si="214"/>
        <v>-1.0125494307642383E-2</v>
      </c>
      <c r="T171" s="404">
        <f t="shared" ref="T171:U171" si="215">T66 * (1 - T$112)</f>
        <v>-1.0581772574621475E-2</v>
      </c>
      <c r="U171" s="404">
        <f t="shared" si="215"/>
        <v>-1.0581772574621475E-2</v>
      </c>
      <c r="V171" s="404">
        <f t="shared" ref="V171:W171" si="216">V66 * (1 - V$112)</f>
        <v>-1.0125494307642383E-2</v>
      </c>
      <c r="W171" s="404">
        <f t="shared" si="216"/>
        <v>-1.0125494307642383E-2</v>
      </c>
      <c r="X171" s="404">
        <f t="shared" ref="X171:Y171" si="217">X66 * (1 - X$112)</f>
        <v>-9.9701655359048201E-3</v>
      </c>
      <c r="Y171" s="404">
        <f t="shared" si="217"/>
        <v>-9.9701655359048201E-3</v>
      </c>
      <c r="Z171" s="256"/>
      <c r="AA171" s="256"/>
    </row>
    <row r="172" spans="4:27" x14ac:dyDescent="0.35">
      <c r="F172" t="s">
        <v>191</v>
      </c>
      <c r="G172" t="s">
        <v>269</v>
      </c>
      <c r="H172" s="256"/>
      <c r="I172" s="256"/>
      <c r="J172" s="271">
        <f t="shared" ref="J172:K172" si="218">J67 * (1 - J$112)</f>
        <v>0</v>
      </c>
      <c r="K172" s="271">
        <f t="shared" si="218"/>
        <v>0</v>
      </c>
      <c r="L172" s="271">
        <f t="shared" ref="L172:M172" si="219">L67 * (1 - L$112)</f>
        <v>0</v>
      </c>
      <c r="M172" s="271">
        <f t="shared" si="219"/>
        <v>0</v>
      </c>
      <c r="N172" s="271">
        <f t="shared" ref="N172:P172" si="220">N67 * (1 - N$112)</f>
        <v>0</v>
      </c>
      <c r="O172" s="271">
        <f t="shared" si="220"/>
        <v>0</v>
      </c>
      <c r="P172" s="271">
        <f t="shared" si="220"/>
        <v>0</v>
      </c>
      <c r="Q172" s="271">
        <f t="shared" ref="Q172:S172" si="221">Q67 * (1 - Q$112)</f>
        <v>0</v>
      </c>
      <c r="R172" s="271">
        <f t="shared" si="221"/>
        <v>0</v>
      </c>
      <c r="S172" s="271">
        <f t="shared" si="221"/>
        <v>0</v>
      </c>
      <c r="T172" s="271">
        <f t="shared" ref="T172:U172" si="222">T67 * (1 - T$112)</f>
        <v>0</v>
      </c>
      <c r="U172" s="271">
        <f t="shared" si="222"/>
        <v>0</v>
      </c>
      <c r="V172" s="271">
        <f t="shared" ref="V172:W172" si="223">V67 * (1 - V$112)</f>
        <v>0</v>
      </c>
      <c r="W172" s="271">
        <f t="shared" si="223"/>
        <v>0</v>
      </c>
      <c r="X172" s="271">
        <f t="shared" ref="X172:Y172" si="224">X67 * (1 - X$112)</f>
        <v>0</v>
      </c>
      <c r="Y172" s="271">
        <f t="shared" si="224"/>
        <v>0</v>
      </c>
      <c r="Z172" s="256"/>
      <c r="AA172" s="256"/>
    </row>
    <row r="173" spans="4:27" x14ac:dyDescent="0.35">
      <c r="F173" t="s">
        <v>192</v>
      </c>
      <c r="G173" t="s">
        <v>269</v>
      </c>
      <c r="H173" s="256"/>
      <c r="I173" s="256"/>
      <c r="J173" s="271">
        <f t="shared" ref="J173:K173" si="225">J68 * (1 - J$113)</f>
        <v>6.4796096117450533E-2</v>
      </c>
      <c r="K173" s="271">
        <f t="shared" si="225"/>
        <v>6.4796096117450533E-2</v>
      </c>
      <c r="L173" s="271">
        <f t="shared" ref="L173:M173" si="226">L68 * (1 - L$113)</f>
        <v>6.0611268673016278E-2</v>
      </c>
      <c r="M173" s="271">
        <f t="shared" si="226"/>
        <v>6.0611268673016278E-2</v>
      </c>
      <c r="N173" s="271">
        <f t="shared" ref="N173:P173" si="227">N68 * (1 - N$113)</f>
        <v>5.33161422561267E-2</v>
      </c>
      <c r="O173" s="271">
        <f t="shared" si="227"/>
        <v>4.3372772036806326E-2</v>
      </c>
      <c r="P173" s="271">
        <f t="shared" si="227"/>
        <v>4.3975302206340147E-2</v>
      </c>
      <c r="Q173" s="271">
        <f t="shared" ref="Q173:S173" si="228">Q68 * (1 - Q$113)</f>
        <v>5.2829801604265043E-2</v>
      </c>
      <c r="R173" s="271">
        <f t="shared" si="228"/>
        <v>-4.4975677153580751E-2</v>
      </c>
      <c r="S173" s="271">
        <f t="shared" si="228"/>
        <v>-4.3036358964389648E-2</v>
      </c>
      <c r="T173" s="271">
        <f t="shared" ref="T173:U173" si="229">T68 * (1 - T$113)</f>
        <v>-4.4975677153580751E-2</v>
      </c>
      <c r="U173" s="271">
        <f t="shared" si="229"/>
        <v>-4.4975677153580751E-2</v>
      </c>
      <c r="V173" s="271">
        <f t="shared" ref="V173:W173" si="230">V68 * (1 - V$113)</f>
        <v>-4.3036358964389648E-2</v>
      </c>
      <c r="W173" s="271">
        <f t="shared" si="230"/>
        <v>-4.3036358964389648E-2</v>
      </c>
      <c r="X173" s="271">
        <f t="shared" ref="X173:Y173" si="231">X68 * (1 - X$113)</f>
        <v>-4.2376165538282037E-2</v>
      </c>
      <c r="Y173" s="271">
        <f t="shared" si="231"/>
        <v>-4.2376165538282037E-2</v>
      </c>
      <c r="Z173" s="256"/>
      <c r="AA173" s="256"/>
    </row>
    <row r="174" spans="4:27" x14ac:dyDescent="0.35">
      <c r="F174" t="s">
        <v>193</v>
      </c>
      <c r="G174" t="s">
        <v>269</v>
      </c>
      <c r="H174" s="256"/>
      <c r="I174" s="256"/>
      <c r="J174" s="271">
        <f t="shared" ref="J174:K174" si="232">J69 * (1 - J$114)</f>
        <v>1.6765851493768382E-2</v>
      </c>
      <c r="K174" s="271">
        <f t="shared" si="232"/>
        <v>1.6765851493768382E-2</v>
      </c>
      <c r="L174" s="271">
        <f t="shared" ref="L174:M174" si="233">L69 * (1 - L$114)</f>
        <v>1.5683036329514451E-2</v>
      </c>
      <c r="M174" s="271">
        <f t="shared" si="233"/>
        <v>1.5683036329514451E-2</v>
      </c>
      <c r="N174" s="271">
        <f t="shared" ref="N174:P174" si="234">N69 * (1 - N$114)</f>
        <v>1.3795437948399979E-2</v>
      </c>
      <c r="O174" s="271">
        <f t="shared" si="234"/>
        <v>1.122261213891749E-2</v>
      </c>
      <c r="P174" s="271">
        <f t="shared" si="234"/>
        <v>1.13785155335388E-2</v>
      </c>
      <c r="Q174" s="271">
        <f t="shared" ref="Q174:S174" si="235">Q69 * (1 - Q$114)</f>
        <v>1.3669598343345451E-2</v>
      </c>
      <c r="R174" s="271">
        <f t="shared" si="235"/>
        <v>-1.1637360414766228E-2</v>
      </c>
      <c r="S174" s="271">
        <f t="shared" si="235"/>
        <v>-1.1135565974863459E-2</v>
      </c>
      <c r="T174" s="271">
        <f t="shared" ref="T174:U174" si="236">T69 * (1 - T$114)</f>
        <v>-1.1637360414766228E-2</v>
      </c>
      <c r="U174" s="271">
        <f t="shared" si="236"/>
        <v>-1.1637360414766228E-2</v>
      </c>
      <c r="V174" s="271">
        <f t="shared" ref="V174:W174" si="237">V69 * (1 - V$114)</f>
        <v>-1.1135565974863459E-2</v>
      </c>
      <c r="W174" s="271">
        <f t="shared" si="237"/>
        <v>-1.1135565974863459E-2</v>
      </c>
      <c r="X174" s="271">
        <f t="shared" ref="X174:Y174" si="238">X69 * (1 - X$114)</f>
        <v>-1.0964742335747625E-2</v>
      </c>
      <c r="Y174" s="271">
        <f t="shared" si="238"/>
        <v>-1.0964742335747625E-2</v>
      </c>
      <c r="Z174" s="256"/>
      <c r="AA174" s="256"/>
    </row>
    <row r="175" spans="4:27" x14ac:dyDescent="0.35">
      <c r="F175" t="s">
        <v>194</v>
      </c>
      <c r="G175" t="s">
        <v>269</v>
      </c>
      <c r="H175" s="256"/>
      <c r="I175" s="256"/>
      <c r="J175" s="271">
        <f t="shared" ref="J175:K175" si="239">J70 * (1 - J$115)</f>
        <v>6.8356637697647854E-2</v>
      </c>
      <c r="K175" s="271">
        <f t="shared" si="239"/>
        <v>6.8356637697647854E-2</v>
      </c>
      <c r="L175" s="271">
        <f t="shared" ref="L175:M175" si="240">L70 * (1 - L$115)</f>
        <v>6.3941854237115806E-2</v>
      </c>
      <c r="M175" s="271">
        <f t="shared" si="240"/>
        <v>6.3941854237115806E-2</v>
      </c>
      <c r="N175" s="271">
        <f t="shared" ref="N175:P175" si="241">N70 * (1 - N$115)</f>
        <v>5.6245861062867136E-2</v>
      </c>
      <c r="O175" s="271">
        <f t="shared" si="241"/>
        <v>4.5756103248698256E-2</v>
      </c>
      <c r="P175" s="271">
        <f t="shared" si="241"/>
        <v>3.7113393931815085E-2</v>
      </c>
      <c r="Q175" s="271">
        <f t="shared" ref="Q175:S175" si="242">Q70 * (1 - Q$115)</f>
        <v>5.2199082095960581E-2</v>
      </c>
      <c r="R175" s="271">
        <f t="shared" si="242"/>
        <v>-4.7447087905126445E-2</v>
      </c>
      <c r="S175" s="271">
        <f t="shared" si="242"/>
        <v>-4.5401204298208146E-2</v>
      </c>
      <c r="T175" s="271">
        <f t="shared" ref="T175:U175" si="243">T70 * (1 - T$115)</f>
        <v>-4.7447087905126445E-2</v>
      </c>
      <c r="U175" s="271">
        <f t="shared" si="243"/>
        <v>-4.7447087905126445E-2</v>
      </c>
      <c r="V175" s="271">
        <f t="shared" ref="V175:W175" si="244">V70 * (1 - V$115)</f>
        <v>-4.5401204298208146E-2</v>
      </c>
      <c r="W175" s="271">
        <f t="shared" si="244"/>
        <v>-4.5401204298208146E-2</v>
      </c>
      <c r="X175" s="271">
        <f t="shared" ref="X175:Y175" si="245">X70 * (1 - X$115)</f>
        <v>-4.4704733283087029E-2</v>
      </c>
      <c r="Y175" s="271">
        <f t="shared" si="245"/>
        <v>-4.4704733283087029E-2</v>
      </c>
      <c r="Z175" s="256"/>
      <c r="AA175" s="256"/>
    </row>
    <row r="176" spans="4:27" x14ac:dyDescent="0.35">
      <c r="F176" t="s">
        <v>195</v>
      </c>
      <c r="G176" t="s">
        <v>269</v>
      </c>
      <c r="H176" s="256"/>
      <c r="I176" s="256"/>
      <c r="J176" s="271">
        <f t="shared" ref="J176:K176" si="246">J71 * (1 - J$116)</f>
        <v>4.836178501447682E-2</v>
      </c>
      <c r="K176" s="271">
        <f t="shared" si="246"/>
        <v>4.836178501447682E-2</v>
      </c>
      <c r="L176" s="271">
        <f t="shared" ref="L176:M176" si="247">L71 * (1 - L$116)</f>
        <v>4.5238360343589801E-2</v>
      </c>
      <c r="M176" s="271">
        <f t="shared" si="247"/>
        <v>4.5238360343589801E-2</v>
      </c>
      <c r="N176" s="271">
        <f t="shared" ref="N176:P176" si="248">N71 * (1 - N$116)</f>
        <v>3.9793505536480082E-2</v>
      </c>
      <c r="O176" s="271">
        <f t="shared" si="248"/>
        <v>3.2372084159573766E-2</v>
      </c>
      <c r="P176" s="271">
        <f t="shared" si="248"/>
        <v>0</v>
      </c>
      <c r="Q176" s="271">
        <f t="shared" ref="Q176:S176" si="249">Q71 * (1 - Q$116)</f>
        <v>3.6930441158382739E-2</v>
      </c>
      <c r="R176" s="271">
        <f t="shared" si="249"/>
        <v>-3.3568442540725878E-2</v>
      </c>
      <c r="S176" s="271">
        <f t="shared" si="249"/>
        <v>-3.2120995935758796E-2</v>
      </c>
      <c r="T176" s="271">
        <f t="shared" ref="T176:U176" si="250">T71 * (1 - T$116)</f>
        <v>-3.3568442540725878E-2</v>
      </c>
      <c r="U176" s="271">
        <f t="shared" si="250"/>
        <v>-3.3568442540725878E-2</v>
      </c>
      <c r="V176" s="271">
        <f t="shared" ref="V176:W176" si="251">V71 * (1 - V$116)</f>
        <v>-3.2120995935758796E-2</v>
      </c>
      <c r="W176" s="271">
        <f t="shared" si="251"/>
        <v>-3.2120995935758796E-2</v>
      </c>
      <c r="X176" s="271">
        <f t="shared" ref="X176:Y176" si="252">X71 * (1 - X$116)</f>
        <v>-3.1628248155344471E-2</v>
      </c>
      <c r="Y176" s="271">
        <f t="shared" si="252"/>
        <v>-3.1628248155344471E-2</v>
      </c>
      <c r="Z176" s="256"/>
      <c r="AA176" s="256"/>
    </row>
    <row r="177" spans="3:27" x14ac:dyDescent="0.35">
      <c r="F177" t="s">
        <v>196</v>
      </c>
      <c r="G177" t="s">
        <v>269</v>
      </c>
      <c r="H177" s="256"/>
      <c r="I177" s="256"/>
      <c r="J177" s="271">
        <f t="shared" ref="J177:K177" si="253">J72 * (1 - J$117)</f>
        <v>0</v>
      </c>
      <c r="K177" s="271">
        <f t="shared" si="253"/>
        <v>0</v>
      </c>
      <c r="L177" s="271">
        <f t="shared" ref="L177:M177" si="254">L72 * (1 - L$117)</f>
        <v>0</v>
      </c>
      <c r="M177" s="271">
        <f t="shared" si="254"/>
        <v>0</v>
      </c>
      <c r="N177" s="271">
        <f t="shared" ref="N177:P177" si="255">N72 * (1 - N$117)</f>
        <v>0</v>
      </c>
      <c r="O177" s="271">
        <f t="shared" si="255"/>
        <v>0</v>
      </c>
      <c r="P177" s="271">
        <f t="shared" si="255"/>
        <v>0</v>
      </c>
      <c r="Q177" s="271">
        <f t="shared" ref="Q177:S177" si="256">Q72 * (1 - Q$117)</f>
        <v>0</v>
      </c>
      <c r="R177" s="271">
        <f t="shared" si="256"/>
        <v>0</v>
      </c>
      <c r="S177" s="271">
        <f t="shared" si="256"/>
        <v>0</v>
      </c>
      <c r="T177" s="271">
        <f t="shared" ref="T177:U177" si="257">T72 * (1 - T$117)</f>
        <v>0</v>
      </c>
      <c r="U177" s="271">
        <f t="shared" si="257"/>
        <v>0</v>
      </c>
      <c r="V177" s="271">
        <f t="shared" ref="V177:W177" si="258">V72 * (1 - V$117)</f>
        <v>0</v>
      </c>
      <c r="W177" s="271">
        <f t="shared" si="258"/>
        <v>0</v>
      </c>
      <c r="X177" s="271">
        <f t="shared" ref="X177:Y177" si="259">X72 * (1 - X$117)</f>
        <v>0</v>
      </c>
      <c r="Y177" s="271">
        <f t="shared" si="259"/>
        <v>0</v>
      </c>
      <c r="Z177" s="256"/>
      <c r="AA177" s="256"/>
    </row>
    <row r="178" spans="3:27" x14ac:dyDescent="0.35">
      <c r="F178" t="s">
        <v>197</v>
      </c>
      <c r="G178" t="s">
        <v>269</v>
      </c>
      <c r="H178" s="256"/>
      <c r="I178" s="256"/>
      <c r="J178" s="271">
        <f t="shared" ref="J178:K178" si="260">J73 * (1 - J$118)</f>
        <v>0.25021828823903691</v>
      </c>
      <c r="K178" s="271">
        <f t="shared" si="260"/>
        <v>0.25021828823903691</v>
      </c>
      <c r="L178" s="271">
        <f t="shared" ref="L178:M178" si="261">L73 * (1 - L$118)</f>
        <v>0.23405804985331607</v>
      </c>
      <c r="M178" s="271">
        <f t="shared" si="261"/>
        <v>0.23405804985331607</v>
      </c>
      <c r="N178" s="271">
        <f t="shared" ref="N178:P178" si="262">N73 * (1 - N$118)</f>
        <v>0.1647096001173339</v>
      </c>
      <c r="O178" s="271">
        <f t="shared" si="262"/>
        <v>0</v>
      </c>
      <c r="P178" s="271">
        <f t="shared" si="262"/>
        <v>0</v>
      </c>
      <c r="Q178" s="271">
        <f t="shared" ref="Q178:S178" si="263">Q73 * (1 - Q$118)</f>
        <v>0.18486058135346403</v>
      </c>
      <c r="R178" s="271">
        <f t="shared" si="263"/>
        <v>-0.17367924341247068</v>
      </c>
      <c r="S178" s="271">
        <f t="shared" si="263"/>
        <v>-0.1661903219075293</v>
      </c>
      <c r="T178" s="271">
        <f t="shared" ref="T178:U178" si="264">T73 * (1 - T$118)</f>
        <v>-0.17367924341247068</v>
      </c>
      <c r="U178" s="271">
        <f t="shared" si="264"/>
        <v>-0.17367924341247068</v>
      </c>
      <c r="V178" s="271">
        <f t="shared" ref="V178:W178" si="265">V73 * (1 - V$118)</f>
        <v>-0.1661903219075293</v>
      </c>
      <c r="W178" s="271">
        <f t="shared" si="265"/>
        <v>-0.1661903219075293</v>
      </c>
      <c r="X178" s="271">
        <f t="shared" ref="X178:Y178" si="266">X73 * (1 - X$118)</f>
        <v>0</v>
      </c>
      <c r="Y178" s="271">
        <f t="shared" si="266"/>
        <v>0</v>
      </c>
      <c r="Z178" s="256"/>
      <c r="AA178" s="256"/>
    </row>
    <row r="179" spans="3:27" x14ac:dyDescent="0.35">
      <c r="F179" t="s">
        <v>198</v>
      </c>
      <c r="G179" t="s">
        <v>269</v>
      </c>
      <c r="H179" s="256"/>
      <c r="I179" s="256"/>
      <c r="J179" s="271">
        <f t="shared" ref="J179:K179" si="267">J74 * (1 - J$119)</f>
        <v>9.6089667415739752E-2</v>
      </c>
      <c r="K179" s="271">
        <f t="shared" si="267"/>
        <v>9.6089667415739752E-2</v>
      </c>
      <c r="L179" s="271">
        <f t="shared" ref="L179:M179" si="268">L74 * (1 - L$119)</f>
        <v>8.988375839617381E-2</v>
      </c>
      <c r="M179" s="271">
        <f t="shared" si="268"/>
        <v>8.988375839617381E-2</v>
      </c>
      <c r="N179" s="271">
        <f t="shared" ref="N179:P179" si="269">N74 * (1 - N$119)</f>
        <v>0</v>
      </c>
      <c r="O179" s="271">
        <f t="shared" si="269"/>
        <v>0</v>
      </c>
      <c r="P179" s="271">
        <f t="shared" si="269"/>
        <v>0</v>
      </c>
      <c r="Q179" s="271">
        <f t="shared" ref="Q179:S179" si="270">Q74 * (1 - Q$119)</f>
        <v>7.0990781311577197E-2</v>
      </c>
      <c r="R179" s="271">
        <f t="shared" si="270"/>
        <v>-6.6696886362593105E-2</v>
      </c>
      <c r="S179" s="271">
        <f t="shared" si="270"/>
        <v>0</v>
      </c>
      <c r="T179" s="271">
        <f t="shared" ref="T179:U179" si="271">T74 * (1 - T$119)</f>
        <v>-6.6696886362593105E-2</v>
      </c>
      <c r="U179" s="271">
        <f t="shared" si="271"/>
        <v>-6.6696886362593105E-2</v>
      </c>
      <c r="V179" s="271">
        <f t="shared" ref="V179:W179" si="272">V74 * (1 - V$119)</f>
        <v>0</v>
      </c>
      <c r="W179" s="271">
        <f t="shared" si="272"/>
        <v>0</v>
      </c>
      <c r="X179" s="271">
        <f t="shared" ref="X179:Y179" si="273">X74 * (1 - X$119)</f>
        <v>0</v>
      </c>
      <c r="Y179" s="271">
        <f t="shared" si="273"/>
        <v>0</v>
      </c>
      <c r="Z179" s="256"/>
      <c r="AA179" s="256"/>
    </row>
    <row r="180" spans="3:27" x14ac:dyDescent="0.35">
      <c r="F180" t="s">
        <v>199</v>
      </c>
      <c r="G180" t="s">
        <v>269</v>
      </c>
      <c r="H180" s="256"/>
      <c r="I180" s="256"/>
      <c r="J180" s="271">
        <f t="shared" ref="J180:K180" si="274">J75 * (1 - J$120)</f>
        <v>0</v>
      </c>
      <c r="K180" s="271">
        <f t="shared" si="274"/>
        <v>0</v>
      </c>
      <c r="L180" s="271">
        <f t="shared" ref="L180:M180" si="275">L75 * (1 - L$120)</f>
        <v>0</v>
      </c>
      <c r="M180" s="271">
        <f t="shared" si="275"/>
        <v>0</v>
      </c>
      <c r="N180" s="271">
        <f t="shared" ref="N180:P180" si="276">N75 * (1 - N$120)</f>
        <v>0</v>
      </c>
      <c r="O180" s="271">
        <f t="shared" si="276"/>
        <v>0</v>
      </c>
      <c r="P180" s="271">
        <f t="shared" si="276"/>
        <v>0</v>
      </c>
      <c r="Q180" s="271">
        <f t="shared" ref="Q180:S180" si="277">Q75 * (1 - Q$120)</f>
        <v>0.18343837235299884</v>
      </c>
      <c r="R180" s="271">
        <f t="shared" si="277"/>
        <v>0</v>
      </c>
      <c r="S180" s="271">
        <f t="shared" si="277"/>
        <v>0</v>
      </c>
      <c r="T180" s="271">
        <f t="shared" ref="T180:U180" si="278">T75 * (1 - T$120)</f>
        <v>0</v>
      </c>
      <c r="U180" s="271">
        <f t="shared" si="278"/>
        <v>0</v>
      </c>
      <c r="V180" s="271">
        <f t="shared" ref="V180:W180" si="279">V75 * (1 - V$120)</f>
        <v>0</v>
      </c>
      <c r="W180" s="271">
        <f t="shared" si="279"/>
        <v>0</v>
      </c>
      <c r="X180" s="271">
        <f t="shared" ref="X180:Y180" si="280">X75 * (1 - X$120)</f>
        <v>0</v>
      </c>
      <c r="Y180" s="271">
        <f t="shared" si="280"/>
        <v>0</v>
      </c>
      <c r="Z180" s="256"/>
      <c r="AA180" s="256"/>
    </row>
    <row r="181" spans="3:27" x14ac:dyDescent="0.35">
      <c r="F181" s="19" t="s">
        <v>375</v>
      </c>
      <c r="G181" s="19" t="s">
        <v>269</v>
      </c>
      <c r="H181" s="255"/>
      <c r="I181" s="255" t="s">
        <v>154</v>
      </c>
      <c r="J181" s="269"/>
      <c r="K181" s="269"/>
      <c r="L181" s="269"/>
      <c r="M181" s="269"/>
      <c r="N181" s="269"/>
      <c r="O181" s="269"/>
      <c r="P181" s="269"/>
      <c r="Q181" s="270">
        <f>Q76</f>
        <v>2.8663816719090116</v>
      </c>
      <c r="R181" s="269"/>
      <c r="S181" s="269"/>
      <c r="T181" s="269"/>
      <c r="U181" s="269"/>
      <c r="V181" s="269"/>
      <c r="W181" s="269"/>
      <c r="X181" s="269"/>
      <c r="Y181" s="269"/>
      <c r="Z181" s="256"/>
      <c r="AA181" s="256" t="s">
        <v>653</v>
      </c>
    </row>
    <row r="182" spans="3:27" x14ac:dyDescent="0.35">
      <c r="F182" s="28" t="s">
        <v>376</v>
      </c>
      <c r="G182" s="28" t="s">
        <v>269</v>
      </c>
      <c r="H182" s="258"/>
      <c r="I182" s="258"/>
      <c r="J182" s="259"/>
      <c r="K182" s="259"/>
      <c r="L182" s="259"/>
      <c r="M182" s="259"/>
      <c r="N182" s="259"/>
      <c r="O182" s="259"/>
      <c r="P182" s="259"/>
      <c r="Q182" s="259"/>
      <c r="R182" s="259"/>
      <c r="S182" s="259"/>
      <c r="T182" s="259"/>
      <c r="U182" s="259"/>
      <c r="V182" s="259"/>
      <c r="W182" s="259"/>
      <c r="X182" s="259"/>
      <c r="Y182" s="259"/>
      <c r="Z182" s="256"/>
      <c r="AA182" s="256"/>
    </row>
    <row r="183" spans="3:27" x14ac:dyDescent="0.35">
      <c r="E183"/>
      <c r="J183" s="79"/>
      <c r="K183" s="79"/>
      <c r="L183" s="79"/>
      <c r="M183" s="79"/>
      <c r="N183" s="79"/>
      <c r="O183" s="79"/>
      <c r="P183" s="79"/>
      <c r="Q183" s="79"/>
      <c r="R183" s="79"/>
      <c r="S183" s="79"/>
      <c r="T183" s="79"/>
      <c r="U183" s="79"/>
      <c r="V183" s="79"/>
      <c r="W183" s="79"/>
      <c r="X183" s="79"/>
      <c r="Y183" s="79"/>
    </row>
    <row r="184" spans="3:27" x14ac:dyDescent="0.35">
      <c r="C184" s="26" t="str">
        <f ca="1">INDEX('Version control'!$H$38:$H$61,MATCH($A$1,'Version control'!$F$38:$F$61,0),1)&amp;"-G: Contributions to unit rate 3 p/kWh by network level (taking account of standing charges)"</f>
        <v>Section 111-G: Contributions to unit rate 3 p/kWh by network level (taking account of standing charges)</v>
      </c>
      <c r="D184" s="26"/>
      <c r="E184" s="26"/>
      <c r="F184" s="26"/>
      <c r="G184" s="26"/>
      <c r="H184" s="26"/>
      <c r="I184" s="26"/>
      <c r="J184" s="80"/>
      <c r="K184" s="80"/>
      <c r="L184" s="80"/>
      <c r="M184" s="80"/>
      <c r="N184" s="80"/>
      <c r="O184" s="80"/>
      <c r="P184" s="80"/>
      <c r="Q184" s="80"/>
      <c r="R184" s="80"/>
      <c r="S184" s="80"/>
      <c r="T184" s="80"/>
      <c r="U184" s="80"/>
      <c r="V184" s="80"/>
      <c r="W184" s="80"/>
      <c r="X184" s="80"/>
      <c r="Y184" s="80"/>
      <c r="Z184" s="26"/>
      <c r="AA184" s="26"/>
    </row>
    <row r="185" spans="3:27" x14ac:dyDescent="0.35">
      <c r="C185" s="27"/>
      <c r="D185" s="27"/>
      <c r="E185"/>
      <c r="I185" t="s">
        <v>154</v>
      </c>
      <c r="J185" s="79"/>
      <c r="K185" s="79"/>
      <c r="L185" s="79"/>
      <c r="M185" s="79"/>
      <c r="N185" s="79"/>
      <c r="O185" s="79"/>
      <c r="P185" s="79"/>
      <c r="Q185" s="79"/>
      <c r="R185" s="79"/>
      <c r="S185" s="79"/>
      <c r="T185" s="79"/>
      <c r="U185" s="79"/>
      <c r="V185" s="79"/>
      <c r="W185" s="79"/>
      <c r="X185" s="79"/>
      <c r="Y185" s="79"/>
      <c r="AA185" t="s">
        <v>655</v>
      </c>
    </row>
    <row r="186" spans="3:27" x14ac:dyDescent="0.35">
      <c r="E186" s="27" t="s">
        <v>620</v>
      </c>
      <c r="J186" s="79"/>
      <c r="K186" s="79"/>
      <c r="L186" s="79"/>
      <c r="M186" s="79"/>
      <c r="N186" s="79"/>
      <c r="O186" s="79"/>
      <c r="P186" s="79"/>
      <c r="Q186" s="79"/>
      <c r="R186" s="79"/>
      <c r="S186" s="79"/>
      <c r="T186" s="79"/>
      <c r="U186" s="79"/>
      <c r="V186" s="79"/>
      <c r="W186" s="79"/>
      <c r="X186" s="79"/>
      <c r="Y186" s="79"/>
    </row>
    <row r="187" spans="3:27" x14ac:dyDescent="0.35">
      <c r="F187" s="19" t="s">
        <v>189</v>
      </c>
      <c r="G187" s="19" t="s">
        <v>269</v>
      </c>
      <c r="H187" s="255"/>
      <c r="I187" s="255"/>
      <c r="J187" s="404">
        <f t="shared" ref="J187:K187" si="281">J82 * (1 - J$112)</f>
        <v>0</v>
      </c>
      <c r="K187" s="404">
        <f t="shared" si="281"/>
        <v>0</v>
      </c>
      <c r="L187" s="404">
        <f t="shared" ref="L187:M187" si="282">L82 * (1 - L$112)</f>
        <v>0</v>
      </c>
      <c r="M187" s="404">
        <f t="shared" si="282"/>
        <v>0</v>
      </c>
      <c r="N187" s="404">
        <f t="shared" ref="N187:P187" si="283">N82 * (1 - N$112)</f>
        <v>0</v>
      </c>
      <c r="O187" s="404">
        <f t="shared" si="283"/>
        <v>0</v>
      </c>
      <c r="P187" s="404">
        <f t="shared" si="283"/>
        <v>0</v>
      </c>
      <c r="Q187" s="404">
        <f t="shared" ref="Q187:S187" si="284">Q82 * (1 - Q$112)</f>
        <v>0</v>
      </c>
      <c r="R187" s="404">
        <f t="shared" si="284"/>
        <v>0</v>
      </c>
      <c r="S187" s="404">
        <f t="shared" si="284"/>
        <v>0</v>
      </c>
      <c r="T187" s="404">
        <f t="shared" ref="T187:U187" si="285">T82 * (1 - T$112)</f>
        <v>0</v>
      </c>
      <c r="U187" s="404">
        <f t="shared" si="285"/>
        <v>0</v>
      </c>
      <c r="V187" s="404">
        <f t="shared" ref="V187:W187" si="286">V82 * (1 - V$112)</f>
        <v>0</v>
      </c>
      <c r="W187" s="404">
        <f t="shared" si="286"/>
        <v>0</v>
      </c>
      <c r="X187" s="404">
        <f t="shared" ref="X187:Y187" si="287">X82 * (1 - X$112)</f>
        <v>0</v>
      </c>
      <c r="Y187" s="404">
        <f t="shared" si="287"/>
        <v>0</v>
      </c>
      <c r="Z187" s="256"/>
      <c r="AA187" s="256"/>
    </row>
    <row r="188" spans="3:27" x14ac:dyDescent="0.35">
      <c r="F188" t="s">
        <v>191</v>
      </c>
      <c r="G188" t="s">
        <v>269</v>
      </c>
      <c r="H188" s="256"/>
      <c r="I188" s="256"/>
      <c r="J188" s="271">
        <f t="shared" ref="J188:K188" si="288">J83 * (1 - J$112)</f>
        <v>0</v>
      </c>
      <c r="K188" s="271">
        <f t="shared" si="288"/>
        <v>0</v>
      </c>
      <c r="L188" s="271">
        <f t="shared" ref="L188:M188" si="289">L83 * (1 - L$112)</f>
        <v>0</v>
      </c>
      <c r="M188" s="271">
        <f t="shared" si="289"/>
        <v>0</v>
      </c>
      <c r="N188" s="271">
        <f t="shared" ref="N188:P188" si="290">N83 * (1 - N$112)</f>
        <v>0</v>
      </c>
      <c r="O188" s="271">
        <f t="shared" si="290"/>
        <v>0</v>
      </c>
      <c r="P188" s="271">
        <f t="shared" si="290"/>
        <v>0</v>
      </c>
      <c r="Q188" s="271">
        <f t="shared" ref="Q188:S188" si="291">Q83 * (1 - Q$112)</f>
        <v>0</v>
      </c>
      <c r="R188" s="271">
        <f t="shared" si="291"/>
        <v>0</v>
      </c>
      <c r="S188" s="271">
        <f t="shared" si="291"/>
        <v>0</v>
      </c>
      <c r="T188" s="271">
        <f t="shared" ref="T188:U188" si="292">T83 * (1 - T$112)</f>
        <v>0</v>
      </c>
      <c r="U188" s="271">
        <f t="shared" si="292"/>
        <v>0</v>
      </c>
      <c r="V188" s="271">
        <f t="shared" ref="V188:W188" si="293">V83 * (1 - V$112)</f>
        <v>0</v>
      </c>
      <c r="W188" s="271">
        <f t="shared" si="293"/>
        <v>0</v>
      </c>
      <c r="X188" s="271">
        <f t="shared" ref="X188:Y188" si="294">X83 * (1 - X$112)</f>
        <v>0</v>
      </c>
      <c r="Y188" s="271">
        <f t="shared" si="294"/>
        <v>0</v>
      </c>
      <c r="Z188" s="256"/>
      <c r="AA188" s="256"/>
    </row>
    <row r="189" spans="3:27" x14ac:dyDescent="0.35">
      <c r="F189" t="s">
        <v>192</v>
      </c>
      <c r="G189" t="s">
        <v>269</v>
      </c>
      <c r="H189" s="256"/>
      <c r="I189" s="256"/>
      <c r="J189" s="271">
        <f t="shared" ref="J189:K189" si="295">J84 * (1 - J$113)</f>
        <v>4.416863061610197E-3</v>
      </c>
      <c r="K189" s="271">
        <f t="shared" si="295"/>
        <v>4.416863061610197E-3</v>
      </c>
      <c r="L189" s="271">
        <f t="shared" ref="L189:M189" si="296">L84 * (1 - L$113)</f>
        <v>4.1316018982674218E-3</v>
      </c>
      <c r="M189" s="271">
        <f t="shared" si="296"/>
        <v>4.1316018982674218E-3</v>
      </c>
      <c r="N189" s="271">
        <f t="shared" ref="N189:P189" si="297">N84 * (1 - N$113)</f>
        <v>3.6343254212690091E-3</v>
      </c>
      <c r="O189" s="271">
        <f t="shared" si="297"/>
        <v>2.9565298863339475E-3</v>
      </c>
      <c r="P189" s="271">
        <f t="shared" si="297"/>
        <v>2.9976017009768507E-3</v>
      </c>
      <c r="Q189" s="271">
        <f t="shared" ref="Q189:S189" si="298">Q84 * (1 - Q$113)</f>
        <v>3.42342611542212E-3</v>
      </c>
      <c r="R189" s="271">
        <f t="shared" si="298"/>
        <v>-3.0657928331126226E-3</v>
      </c>
      <c r="S189" s="271">
        <f t="shared" si="298"/>
        <v>-2.9335980962719864E-3</v>
      </c>
      <c r="T189" s="271">
        <f t="shared" ref="T189:U189" si="299">T84 * (1 - T$113)</f>
        <v>-3.0657928331126226E-3</v>
      </c>
      <c r="U189" s="271">
        <f t="shared" si="299"/>
        <v>-3.0657928331126226E-3</v>
      </c>
      <c r="V189" s="271">
        <f t="shared" ref="V189:W189" si="300">V84 * (1 - V$113)</f>
        <v>-2.9335980962719864E-3</v>
      </c>
      <c r="W189" s="271">
        <f t="shared" si="300"/>
        <v>-2.9335980962719864E-3</v>
      </c>
      <c r="X189" s="271">
        <f t="shared" ref="X189:Y189" si="301">X84 * (1 - X$113)</f>
        <v>-2.8885956326666633E-3</v>
      </c>
      <c r="Y189" s="271">
        <f t="shared" si="301"/>
        <v>-2.8885956326666633E-3</v>
      </c>
      <c r="Z189" s="256"/>
      <c r="AA189" s="256"/>
    </row>
    <row r="190" spans="3:27" x14ac:dyDescent="0.35">
      <c r="F190" t="s">
        <v>193</v>
      </c>
      <c r="G190" t="s">
        <v>269</v>
      </c>
      <c r="H190" s="256"/>
      <c r="I190" s="256"/>
      <c r="J190" s="271">
        <f t="shared" ref="J190:K190" si="302">J85 * (1 - J$114)</f>
        <v>1.1428538846698253E-3</v>
      </c>
      <c r="K190" s="271">
        <f t="shared" si="302"/>
        <v>1.1428538846698253E-3</v>
      </c>
      <c r="L190" s="271">
        <f t="shared" ref="L190:M190" si="303">L85 * (1 - L$114)</f>
        <v>1.0690431678501656E-3</v>
      </c>
      <c r="M190" s="271">
        <f t="shared" si="303"/>
        <v>1.0690431678501656E-3</v>
      </c>
      <c r="N190" s="271">
        <f t="shared" ref="N190:P190" si="304">N85 * (1 - N$114)</f>
        <v>9.4037394139572861E-4</v>
      </c>
      <c r="O190" s="271">
        <f t="shared" si="304"/>
        <v>7.6499579421133209E-4</v>
      </c>
      <c r="P190" s="271">
        <f t="shared" si="304"/>
        <v>7.7562303853843364E-4</v>
      </c>
      <c r="Q190" s="271">
        <f t="shared" ref="Q190:S190" si="305">Q85 * (1 - Q$114)</f>
        <v>8.8580419639815145E-4</v>
      </c>
      <c r="R190" s="271">
        <f t="shared" si="305"/>
        <v>-7.9326734835160446E-4</v>
      </c>
      <c r="S190" s="271">
        <f t="shared" si="305"/>
        <v>-7.5906224250525071E-4</v>
      </c>
      <c r="T190" s="271">
        <f t="shared" ref="T190:U190" si="306">T85 * (1 - T$114)</f>
        <v>-7.9326734835160446E-4</v>
      </c>
      <c r="U190" s="271">
        <f t="shared" si="306"/>
        <v>-7.9326734835160446E-4</v>
      </c>
      <c r="V190" s="271">
        <f t="shared" ref="V190:W190" si="307">V85 * (1 - V$114)</f>
        <v>-7.5906224250525071E-4</v>
      </c>
      <c r="W190" s="271">
        <f t="shared" si="307"/>
        <v>-7.5906224250525071E-4</v>
      </c>
      <c r="X190" s="271">
        <f t="shared" ref="X190:Y190" si="308">X85 * (1 - X$114)</f>
        <v>-7.4741795115330066E-4</v>
      </c>
      <c r="Y190" s="271">
        <f t="shared" si="308"/>
        <v>-7.4741795115330066E-4</v>
      </c>
      <c r="Z190" s="256"/>
      <c r="AA190" s="256"/>
    </row>
    <row r="191" spans="3:27" x14ac:dyDescent="0.35">
      <c r="F191" t="s">
        <v>194</v>
      </c>
      <c r="G191" t="s">
        <v>269</v>
      </c>
      <c r="H191" s="256"/>
      <c r="I191" s="256"/>
      <c r="J191" s="271">
        <f t="shared" ref="J191:K191" si="309">J86 * (1 - J$115)</f>
        <v>4.7466534056469336E-3</v>
      </c>
      <c r="K191" s="271">
        <f t="shared" si="309"/>
        <v>4.7466534056469336E-3</v>
      </c>
      <c r="L191" s="271">
        <f t="shared" ref="L191:M191" si="310">L86 * (1 - L$115)</f>
        <v>4.4400928775996436E-3</v>
      </c>
      <c r="M191" s="271">
        <f t="shared" si="310"/>
        <v>4.4400928775996436E-3</v>
      </c>
      <c r="N191" s="271">
        <f t="shared" ref="N191:P191" si="311">N86 * (1 - N$115)</f>
        <v>3.9056866598456072E-3</v>
      </c>
      <c r="O191" s="271">
        <f t="shared" si="311"/>
        <v>3.1772827135709125E-3</v>
      </c>
      <c r="P191" s="271">
        <f t="shared" si="311"/>
        <v>2.5193114279027495E-3</v>
      </c>
      <c r="Q191" s="271">
        <f t="shared" ref="Q191:S191" si="312">Q86 * (1 - Q$115)</f>
        <v>3.6790403060005853E-3</v>
      </c>
      <c r="R191" s="271">
        <f t="shared" si="312"/>
        <v>-3.2947039084786278E-3</v>
      </c>
      <c r="S191" s="271">
        <f t="shared" si="312"/>
        <v>-3.1526386940763382E-3</v>
      </c>
      <c r="T191" s="271">
        <f t="shared" ref="T191:U191" si="313">T86 * (1 - T$115)</f>
        <v>-3.2947039084786278E-3</v>
      </c>
      <c r="U191" s="271">
        <f t="shared" si="313"/>
        <v>-3.2947039084786278E-3</v>
      </c>
      <c r="V191" s="271">
        <f t="shared" ref="V191:W191" si="314">V86 * (1 - V$115)</f>
        <v>-3.1526386940763382E-3</v>
      </c>
      <c r="W191" s="271">
        <f t="shared" si="314"/>
        <v>-3.1526386940763382E-3</v>
      </c>
      <c r="X191" s="271">
        <f t="shared" ref="X191:Y191" si="315">X86 * (1 - X$115)</f>
        <v>-3.0346226391566619E-3</v>
      </c>
      <c r="Y191" s="271">
        <f t="shared" si="315"/>
        <v>-3.0346226391566619E-3</v>
      </c>
      <c r="Z191" s="256"/>
      <c r="AA191" s="256"/>
    </row>
    <row r="192" spans="3:27" x14ac:dyDescent="0.35">
      <c r="F192" t="s">
        <v>195</v>
      </c>
      <c r="G192" t="s">
        <v>269</v>
      </c>
      <c r="H192" s="256"/>
      <c r="I192" s="256"/>
      <c r="J192" s="271">
        <f t="shared" ref="J192:K192" si="316">J87 * (1 - J$116)</f>
        <v>3.3173129064133296E-3</v>
      </c>
      <c r="K192" s="271">
        <f t="shared" si="316"/>
        <v>3.3173129064133296E-3</v>
      </c>
      <c r="L192" s="271">
        <f t="shared" ref="L192:M192" si="317">L87 * (1 - L$116)</f>
        <v>3.1030657075177205E-3</v>
      </c>
      <c r="M192" s="271">
        <f t="shared" si="317"/>
        <v>3.1030657075177205E-3</v>
      </c>
      <c r="N192" s="271">
        <f t="shared" ref="N192:P192" si="318">N87 * (1 - N$116)</f>
        <v>2.7295830678722875E-3</v>
      </c>
      <c r="O192" s="271">
        <f t="shared" si="318"/>
        <v>2.2205204493156421E-3</v>
      </c>
      <c r="P192" s="271">
        <f t="shared" si="318"/>
        <v>0</v>
      </c>
      <c r="Q192" s="271">
        <f t="shared" ref="Q192:S192" si="319">Q87 * (1 - Q$116)</f>
        <v>2.5711858118377196E-3</v>
      </c>
      <c r="R192" s="271">
        <f t="shared" si="319"/>
        <v>-2.3025830757737774E-3</v>
      </c>
      <c r="S192" s="271">
        <f t="shared" si="319"/>
        <v>-2.2032973835156414E-3</v>
      </c>
      <c r="T192" s="271">
        <f t="shared" ref="T192:U192" si="320">T87 * (1 - T$116)</f>
        <v>-2.3025830757737774E-3</v>
      </c>
      <c r="U192" s="271">
        <f t="shared" si="320"/>
        <v>-2.3025830757737774E-3</v>
      </c>
      <c r="V192" s="271">
        <f t="shared" ref="V192:W192" si="321">V87 * (1 - V$116)</f>
        <v>-2.2032973835156414E-3</v>
      </c>
      <c r="W192" s="271">
        <f t="shared" si="321"/>
        <v>-2.2032973835156414E-3</v>
      </c>
      <c r="X192" s="271">
        <f t="shared" ref="X192:Y192" si="322">X87 * (1 - X$116)</f>
        <v>-2.0761443675782593E-3</v>
      </c>
      <c r="Y192" s="271">
        <f t="shared" si="322"/>
        <v>-2.0761443675782593E-3</v>
      </c>
      <c r="Z192" s="256"/>
      <c r="AA192" s="256"/>
    </row>
    <row r="193" spans="4:27" x14ac:dyDescent="0.35">
      <c r="F193" t="s">
        <v>196</v>
      </c>
      <c r="G193" t="s">
        <v>269</v>
      </c>
      <c r="H193" s="256"/>
      <c r="I193" s="256"/>
      <c r="J193" s="271">
        <f t="shared" ref="J193:K193" si="323">J88 * (1 - J$117)</f>
        <v>0</v>
      </c>
      <c r="K193" s="271">
        <f t="shared" si="323"/>
        <v>0</v>
      </c>
      <c r="L193" s="271">
        <f t="shared" ref="L193:M193" si="324">L88 * (1 - L$117)</f>
        <v>0</v>
      </c>
      <c r="M193" s="271">
        <f t="shared" si="324"/>
        <v>0</v>
      </c>
      <c r="N193" s="271">
        <f t="shared" ref="N193:P193" si="325">N88 * (1 - N$117)</f>
        <v>0</v>
      </c>
      <c r="O193" s="271">
        <f t="shared" si="325"/>
        <v>0</v>
      </c>
      <c r="P193" s="271">
        <f t="shared" si="325"/>
        <v>0</v>
      </c>
      <c r="Q193" s="271">
        <f t="shared" ref="Q193:S193" si="326">Q88 * (1 - Q$117)</f>
        <v>0</v>
      </c>
      <c r="R193" s="271">
        <f t="shared" si="326"/>
        <v>0</v>
      </c>
      <c r="S193" s="271">
        <f t="shared" si="326"/>
        <v>0</v>
      </c>
      <c r="T193" s="271">
        <f t="shared" ref="T193:U193" si="327">T88 * (1 - T$117)</f>
        <v>0</v>
      </c>
      <c r="U193" s="271">
        <f t="shared" si="327"/>
        <v>0</v>
      </c>
      <c r="V193" s="271">
        <f t="shared" ref="V193:W193" si="328">V88 * (1 - V$117)</f>
        <v>0</v>
      </c>
      <c r="W193" s="271">
        <f t="shared" si="328"/>
        <v>0</v>
      </c>
      <c r="X193" s="271">
        <f t="shared" ref="X193:Y193" si="329">X88 * (1 - X$117)</f>
        <v>0</v>
      </c>
      <c r="Y193" s="271">
        <f t="shared" si="329"/>
        <v>0</v>
      </c>
      <c r="Z193" s="256"/>
      <c r="AA193" s="256"/>
    </row>
    <row r="194" spans="4:27" x14ac:dyDescent="0.35">
      <c r="F194" t="s">
        <v>197</v>
      </c>
      <c r="G194" t="s">
        <v>269</v>
      </c>
      <c r="H194" s="256"/>
      <c r="I194" s="256"/>
      <c r="J194" s="271">
        <f t="shared" ref="J194:K194" si="330">J89 * (1 - J$118)</f>
        <v>1.2511415191146624E-2</v>
      </c>
      <c r="K194" s="271">
        <f t="shared" si="330"/>
        <v>1.2511415191146624E-2</v>
      </c>
      <c r="L194" s="271">
        <f t="shared" ref="L194:M194" si="331">L89 * (1 - L$118)</f>
        <v>1.1703370929255958E-2</v>
      </c>
      <c r="M194" s="271">
        <f t="shared" si="331"/>
        <v>1.1703370929255958E-2</v>
      </c>
      <c r="N194" s="271">
        <f t="shared" ref="N194:P194" si="332">N89 * (1 - N$118)</f>
        <v>8.2358096506000966E-3</v>
      </c>
      <c r="O194" s="271">
        <f t="shared" si="332"/>
        <v>0</v>
      </c>
      <c r="P194" s="271">
        <f t="shared" si="332"/>
        <v>0</v>
      </c>
      <c r="Q194" s="271">
        <f t="shared" ref="Q194:S194" si="333">Q89 * (1 - Q$118)</f>
        <v>9.6973587156323864E-3</v>
      </c>
      <c r="R194" s="271">
        <f t="shared" si="333"/>
        <v>-8.6843097669254601E-3</v>
      </c>
      <c r="S194" s="271">
        <f t="shared" si="333"/>
        <v>-8.3098487035809659E-3</v>
      </c>
      <c r="T194" s="271">
        <f t="shared" ref="T194:U194" si="334">T89 * (1 - T$118)</f>
        <v>-8.6843097669254601E-3</v>
      </c>
      <c r="U194" s="271">
        <f t="shared" si="334"/>
        <v>-8.6843097669254601E-3</v>
      </c>
      <c r="V194" s="271">
        <f t="shared" ref="V194:W194" si="335">V89 * (1 - V$118)</f>
        <v>-8.3098487035809659E-3</v>
      </c>
      <c r="W194" s="271">
        <f t="shared" si="335"/>
        <v>-8.3098487035809659E-3</v>
      </c>
      <c r="X194" s="271">
        <f t="shared" ref="X194:Y194" si="336">X89 * (1 - X$118)</f>
        <v>0</v>
      </c>
      <c r="Y194" s="271">
        <f t="shared" si="336"/>
        <v>0</v>
      </c>
      <c r="Z194" s="256"/>
      <c r="AA194" s="256"/>
    </row>
    <row r="195" spans="4:27" x14ac:dyDescent="0.35">
      <c r="F195" t="s">
        <v>198</v>
      </c>
      <c r="G195" t="s">
        <v>269</v>
      </c>
      <c r="H195" s="256"/>
      <c r="I195" s="256"/>
      <c r="J195" s="271">
        <f t="shared" ref="J195:K195" si="337">J90 * (1 - J$119)</f>
        <v>4.22096589715968E-3</v>
      </c>
      <c r="K195" s="271">
        <f t="shared" si="337"/>
        <v>4.22096589715968E-3</v>
      </c>
      <c r="L195" s="271">
        <f t="shared" ref="L195:M195" si="338">L90 * (1 - L$119)</f>
        <v>3.9483566662511273E-3</v>
      </c>
      <c r="M195" s="271">
        <f t="shared" si="338"/>
        <v>3.9483566662511273E-3</v>
      </c>
      <c r="N195" s="271">
        <f t="shared" ref="N195:P195" si="339">N90 * (1 - N$119)</f>
        <v>0</v>
      </c>
      <c r="O195" s="271">
        <f t="shared" si="339"/>
        <v>0</v>
      </c>
      <c r="P195" s="271">
        <f t="shared" si="339"/>
        <v>0</v>
      </c>
      <c r="Q195" s="271">
        <f t="shared" ref="Q195:S195" si="340">Q90 * (1 - Q$119)</f>
        <v>3.2715899685091666E-3</v>
      </c>
      <c r="R195" s="271">
        <f t="shared" si="340"/>
        <v>-2.9298184742923305E-3</v>
      </c>
      <c r="S195" s="271">
        <f t="shared" si="340"/>
        <v>0</v>
      </c>
      <c r="T195" s="271">
        <f t="shared" ref="T195:U195" si="341">T90 * (1 - T$119)</f>
        <v>-2.9298184742923305E-3</v>
      </c>
      <c r="U195" s="271">
        <f t="shared" si="341"/>
        <v>-2.9298184742923305E-3</v>
      </c>
      <c r="V195" s="271">
        <f t="shared" ref="V195:W195" si="342">V90 * (1 - V$119)</f>
        <v>0</v>
      </c>
      <c r="W195" s="271">
        <f t="shared" si="342"/>
        <v>0</v>
      </c>
      <c r="X195" s="271">
        <f t="shared" ref="X195:Y195" si="343">X90 * (1 - X$119)</f>
        <v>0</v>
      </c>
      <c r="Y195" s="271">
        <f t="shared" si="343"/>
        <v>0</v>
      </c>
      <c r="Z195" s="256"/>
      <c r="AA195" s="256"/>
    </row>
    <row r="196" spans="4:27" x14ac:dyDescent="0.35">
      <c r="F196" t="s">
        <v>199</v>
      </c>
      <c r="G196" t="s">
        <v>269</v>
      </c>
      <c r="H196" s="256"/>
      <c r="I196" s="256"/>
      <c r="J196" s="271">
        <f t="shared" ref="J196:K196" si="344">J91 * (1 - J$120)</f>
        <v>0</v>
      </c>
      <c r="K196" s="271">
        <f t="shared" si="344"/>
        <v>0</v>
      </c>
      <c r="L196" s="271">
        <f t="shared" ref="L196:M196" si="345">L91 * (1 - L$120)</f>
        <v>0</v>
      </c>
      <c r="M196" s="271">
        <f t="shared" si="345"/>
        <v>0</v>
      </c>
      <c r="N196" s="271">
        <f t="shared" ref="N196:P196" si="346">N91 * (1 - N$120)</f>
        <v>0</v>
      </c>
      <c r="O196" s="271">
        <f t="shared" si="346"/>
        <v>0</v>
      </c>
      <c r="P196" s="271">
        <f t="shared" si="346"/>
        <v>0</v>
      </c>
      <c r="Q196" s="271">
        <f t="shared" ref="Q196:S196" si="347">Q91 * (1 - Q$120)</f>
        <v>6.4586644009911626E-4</v>
      </c>
      <c r="R196" s="271">
        <f t="shared" si="347"/>
        <v>0</v>
      </c>
      <c r="S196" s="271">
        <f t="shared" si="347"/>
        <v>0</v>
      </c>
      <c r="T196" s="271">
        <f t="shared" ref="T196:U196" si="348">T91 * (1 - T$120)</f>
        <v>0</v>
      </c>
      <c r="U196" s="271">
        <f t="shared" si="348"/>
        <v>0</v>
      </c>
      <c r="V196" s="271">
        <f t="shared" ref="V196:W196" si="349">V91 * (1 - V$120)</f>
        <v>0</v>
      </c>
      <c r="W196" s="271">
        <f t="shared" si="349"/>
        <v>0</v>
      </c>
      <c r="X196" s="271">
        <f t="shared" ref="X196:Y196" si="350">X91 * (1 - X$120)</f>
        <v>0</v>
      </c>
      <c r="Y196" s="271">
        <f t="shared" si="350"/>
        <v>0</v>
      </c>
      <c r="Z196" s="256"/>
      <c r="AA196" s="256"/>
    </row>
    <row r="197" spans="4:27" x14ac:dyDescent="0.35">
      <c r="D197"/>
      <c r="F197" s="19" t="s">
        <v>375</v>
      </c>
      <c r="G197" s="19" t="s">
        <v>269</v>
      </c>
      <c r="H197" s="255"/>
      <c r="I197" s="255"/>
      <c r="J197" s="269"/>
      <c r="K197" s="269"/>
      <c r="L197" s="269"/>
      <c r="M197" s="269"/>
      <c r="N197" s="269"/>
      <c r="O197" s="269"/>
      <c r="P197" s="269"/>
      <c r="Q197" s="269"/>
      <c r="R197" s="269"/>
      <c r="S197" s="269"/>
      <c r="T197" s="269"/>
      <c r="U197" s="269"/>
      <c r="V197" s="269"/>
      <c r="W197" s="269"/>
      <c r="X197" s="269"/>
      <c r="Y197" s="269"/>
      <c r="Z197" s="256"/>
      <c r="AA197" s="256"/>
    </row>
    <row r="198" spans="4:27" x14ac:dyDescent="0.35">
      <c r="D198"/>
      <c r="F198" s="28" t="s">
        <v>376</v>
      </c>
      <c r="G198" s="28" t="s">
        <v>269</v>
      </c>
      <c r="H198" s="258"/>
      <c r="I198" s="258"/>
      <c r="J198" s="259"/>
      <c r="K198" s="259"/>
      <c r="L198" s="259"/>
      <c r="M198" s="259"/>
      <c r="N198" s="259"/>
      <c r="O198" s="259"/>
      <c r="P198" s="259"/>
      <c r="Q198" s="259"/>
      <c r="R198" s="259"/>
      <c r="S198" s="259"/>
      <c r="T198" s="259"/>
      <c r="U198" s="259"/>
      <c r="V198" s="259"/>
      <c r="W198" s="259"/>
      <c r="X198" s="259"/>
      <c r="Y198" s="259"/>
      <c r="Z198" s="256"/>
      <c r="AA198" s="256"/>
    </row>
    <row r="199" spans="4:27" x14ac:dyDescent="0.35">
      <c r="D199"/>
      <c r="J199" s="79"/>
      <c r="K199" s="79"/>
      <c r="L199" s="79"/>
      <c r="M199" s="79"/>
      <c r="N199" s="79"/>
      <c r="O199" s="79"/>
      <c r="P199" s="79"/>
      <c r="Q199" s="79"/>
      <c r="R199" s="79"/>
      <c r="S199" s="79"/>
      <c r="T199" s="79"/>
      <c r="U199" s="79"/>
      <c r="V199" s="79"/>
      <c r="W199" s="79"/>
      <c r="X199" s="79"/>
      <c r="Y199" s="79"/>
    </row>
    <row r="200" spans="4:27" x14ac:dyDescent="0.35">
      <c r="E200" s="27" t="s">
        <v>621</v>
      </c>
      <c r="J200" s="79"/>
      <c r="K200" s="79"/>
      <c r="L200" s="79"/>
      <c r="M200" s="79"/>
      <c r="N200" s="79"/>
      <c r="O200" s="79"/>
      <c r="P200" s="79"/>
      <c r="Q200" s="79"/>
      <c r="R200" s="79"/>
      <c r="S200" s="79"/>
      <c r="T200" s="79"/>
      <c r="U200" s="79"/>
      <c r="V200" s="79"/>
      <c r="W200" s="79"/>
      <c r="X200" s="79"/>
      <c r="Y200" s="79"/>
    </row>
    <row r="201" spans="4:27" x14ac:dyDescent="0.35">
      <c r="F201" s="19" t="s">
        <v>189</v>
      </c>
      <c r="G201" s="19" t="s">
        <v>269</v>
      </c>
      <c r="H201" s="255"/>
      <c r="I201" s="255"/>
      <c r="J201" s="404">
        <f t="shared" ref="J201:K201" si="351">J96 * (1 - J$112)</f>
        <v>0</v>
      </c>
      <c r="K201" s="404">
        <f t="shared" si="351"/>
        <v>0</v>
      </c>
      <c r="L201" s="404">
        <f t="shared" ref="L201:M201" si="352">L96 * (1 - L$112)</f>
        <v>0</v>
      </c>
      <c r="M201" s="404">
        <f t="shared" si="352"/>
        <v>0</v>
      </c>
      <c r="N201" s="404">
        <f t="shared" ref="N201:P201" si="353">N96 * (1 - N$112)</f>
        <v>0</v>
      </c>
      <c r="O201" s="404">
        <f t="shared" si="353"/>
        <v>0</v>
      </c>
      <c r="P201" s="404">
        <f t="shared" si="353"/>
        <v>0</v>
      </c>
      <c r="Q201" s="404">
        <f t="shared" ref="Q201:S201" si="354">Q96 * (1 - Q$112)</f>
        <v>0</v>
      </c>
      <c r="R201" s="404">
        <f t="shared" si="354"/>
        <v>0</v>
      </c>
      <c r="S201" s="404">
        <f t="shared" si="354"/>
        <v>0</v>
      </c>
      <c r="T201" s="404">
        <f t="shared" ref="T201:U201" si="355">T96 * (1 - T$112)</f>
        <v>0</v>
      </c>
      <c r="U201" s="404">
        <f t="shared" si="355"/>
        <v>0</v>
      </c>
      <c r="V201" s="404">
        <f t="shared" ref="V201:W201" si="356">V96 * (1 - V$112)</f>
        <v>0</v>
      </c>
      <c r="W201" s="404">
        <f t="shared" si="356"/>
        <v>0</v>
      </c>
      <c r="X201" s="404">
        <f t="shared" ref="X201:Y201" si="357">X96 * (1 - X$112)</f>
        <v>0</v>
      </c>
      <c r="Y201" s="404">
        <f t="shared" si="357"/>
        <v>0</v>
      </c>
      <c r="Z201" s="256"/>
      <c r="AA201" s="256"/>
    </row>
    <row r="202" spans="4:27" x14ac:dyDescent="0.35">
      <c r="F202" t="s">
        <v>191</v>
      </c>
      <c r="G202" t="s">
        <v>269</v>
      </c>
      <c r="H202" s="256"/>
      <c r="I202" s="256"/>
      <c r="J202" s="271">
        <f t="shared" ref="J202:K202" si="358">J97 * (1 - J$112)</f>
        <v>0</v>
      </c>
      <c r="K202" s="271">
        <f t="shared" si="358"/>
        <v>0</v>
      </c>
      <c r="L202" s="271">
        <f t="shared" ref="L202:M202" si="359">L97 * (1 - L$112)</f>
        <v>0</v>
      </c>
      <c r="M202" s="271">
        <f t="shared" si="359"/>
        <v>0</v>
      </c>
      <c r="N202" s="271">
        <f t="shared" ref="N202:P202" si="360">N97 * (1 - N$112)</f>
        <v>0</v>
      </c>
      <c r="O202" s="271">
        <f t="shared" si="360"/>
        <v>0</v>
      </c>
      <c r="P202" s="271">
        <f t="shared" si="360"/>
        <v>0</v>
      </c>
      <c r="Q202" s="271">
        <f t="shared" ref="Q202:S202" si="361">Q97 * (1 - Q$112)</f>
        <v>0</v>
      </c>
      <c r="R202" s="271">
        <f t="shared" si="361"/>
        <v>0</v>
      </c>
      <c r="S202" s="271">
        <f t="shared" si="361"/>
        <v>0</v>
      </c>
      <c r="T202" s="271">
        <f t="shared" ref="T202:U202" si="362">T97 * (1 - T$112)</f>
        <v>0</v>
      </c>
      <c r="U202" s="271">
        <f t="shared" si="362"/>
        <v>0</v>
      </c>
      <c r="V202" s="271">
        <f t="shared" ref="V202:W202" si="363">V97 * (1 - V$112)</f>
        <v>0</v>
      </c>
      <c r="W202" s="271">
        <f t="shared" si="363"/>
        <v>0</v>
      </c>
      <c r="X202" s="271">
        <f t="shared" ref="X202:Y202" si="364">X97 * (1 - X$112)</f>
        <v>0</v>
      </c>
      <c r="Y202" s="271">
        <f t="shared" si="364"/>
        <v>0</v>
      </c>
      <c r="Z202" s="256"/>
      <c r="AA202" s="256"/>
    </row>
    <row r="203" spans="4:27" x14ac:dyDescent="0.35">
      <c r="F203" t="s">
        <v>192</v>
      </c>
      <c r="G203" t="s">
        <v>269</v>
      </c>
      <c r="H203" s="256"/>
      <c r="I203" s="256"/>
      <c r="J203" s="271">
        <f t="shared" ref="J203:K203" si="365">J98 * (1 - J$113)</f>
        <v>2.9423573712730518E-3</v>
      </c>
      <c r="K203" s="271">
        <f t="shared" si="365"/>
        <v>2.9423573712730518E-3</v>
      </c>
      <c r="L203" s="271">
        <f t="shared" ref="L203:M203" si="366">L98 * (1 - L$113)</f>
        <v>2.7523265111373168E-3</v>
      </c>
      <c r="M203" s="271">
        <f t="shared" si="366"/>
        <v>2.7523265111373168E-3</v>
      </c>
      <c r="N203" s="271">
        <f t="shared" ref="N203:P203" si="367">N98 * (1 - N$113)</f>
        <v>2.4210585756710159E-3</v>
      </c>
      <c r="O203" s="271">
        <f t="shared" si="367"/>
        <v>1.9695352523047042E-3</v>
      </c>
      <c r="P203" s="271">
        <f t="shared" si="367"/>
        <v>1.996895837154272E-3</v>
      </c>
      <c r="Q203" s="271">
        <f t="shared" ref="Q203:S203" si="368">Q98 * (1 - Q$113)</f>
        <v>2.2805649451239237E-3</v>
      </c>
      <c r="R203" s="271">
        <f t="shared" si="368"/>
        <v>-2.0423223485711776E-3</v>
      </c>
      <c r="S203" s="271">
        <f t="shared" si="368"/>
        <v>-1.9542589078529703E-3</v>
      </c>
      <c r="T203" s="271">
        <f t="shared" ref="T203:U203" si="369">T98 * (1 - T$113)</f>
        <v>-2.0423223485711776E-3</v>
      </c>
      <c r="U203" s="271">
        <f t="shared" si="369"/>
        <v>-2.0423223485711776E-3</v>
      </c>
      <c r="V203" s="271">
        <f t="shared" ref="V203:W203" si="370">V98 * (1 - V$113)</f>
        <v>-1.9542589078529703E-3</v>
      </c>
      <c r="W203" s="271">
        <f t="shared" si="370"/>
        <v>-1.9542589078529703E-3</v>
      </c>
      <c r="X203" s="271">
        <f t="shared" ref="X203:Y203" si="371">X98 * (1 - X$113)</f>
        <v>-1.9242798642042191E-3</v>
      </c>
      <c r="Y203" s="271">
        <f t="shared" si="371"/>
        <v>-1.9242798642042191E-3</v>
      </c>
      <c r="Z203" s="256"/>
      <c r="AA203" s="256"/>
    </row>
    <row r="204" spans="4:27" x14ac:dyDescent="0.35">
      <c r="F204" t="s">
        <v>193</v>
      </c>
      <c r="G204" t="s">
        <v>269</v>
      </c>
      <c r="H204" s="256"/>
      <c r="I204" s="256"/>
      <c r="J204" s="271">
        <f t="shared" ref="J204:K204" si="372">J99 * (1 - J$114)</f>
        <v>7.6132868620572844E-4</v>
      </c>
      <c r="K204" s="271">
        <f t="shared" si="372"/>
        <v>7.6132868620572844E-4</v>
      </c>
      <c r="L204" s="271">
        <f t="shared" ref="L204:M204" si="373">L99 * (1 - L$114)</f>
        <v>7.1215860696987828E-4</v>
      </c>
      <c r="M204" s="271">
        <f t="shared" si="373"/>
        <v>7.1215860696987828E-4</v>
      </c>
      <c r="N204" s="271">
        <f t="shared" ref="N204:P204" si="374">N99 * (1 - N$114)</f>
        <v>6.2644373611395535E-4</v>
      </c>
      <c r="O204" s="271">
        <f t="shared" si="374"/>
        <v>5.0961304045274555E-4</v>
      </c>
      <c r="P204" s="271">
        <f t="shared" si="374"/>
        <v>5.1669253335211748E-4</v>
      </c>
      <c r="Q204" s="271">
        <f t="shared" ref="Q204:S204" si="375">Q99 * (1 - Q$114)</f>
        <v>5.9009130924392739E-4</v>
      </c>
      <c r="R204" s="271">
        <f t="shared" si="375"/>
        <v>-5.2844654616973066E-4</v>
      </c>
      <c r="S204" s="271">
        <f t="shared" si="375"/>
        <v>-5.0566031894956783E-4</v>
      </c>
      <c r="T204" s="271">
        <f t="shared" ref="T204:U204" si="376">T99 * (1 - T$114)</f>
        <v>-5.2844654616973066E-4</v>
      </c>
      <c r="U204" s="271">
        <f t="shared" si="376"/>
        <v>-5.2844654616973066E-4</v>
      </c>
      <c r="V204" s="271">
        <f t="shared" ref="V204:W204" si="377">V99 * (1 - V$114)</f>
        <v>-5.0566031894956783E-4</v>
      </c>
      <c r="W204" s="271">
        <f t="shared" si="377"/>
        <v>-5.0566031894956783E-4</v>
      </c>
      <c r="X204" s="271">
        <f t="shared" ref="X204:Y204" si="378">X99 * (1 - X$114)</f>
        <v>-4.9790330542781027E-4</v>
      </c>
      <c r="Y204" s="271">
        <f t="shared" si="378"/>
        <v>-4.9790330542781027E-4</v>
      </c>
      <c r="Z204" s="256"/>
      <c r="AA204" s="256"/>
    </row>
    <row r="205" spans="4:27" x14ac:dyDescent="0.35">
      <c r="F205" t="s">
        <v>194</v>
      </c>
      <c r="G205" t="s">
        <v>269</v>
      </c>
      <c r="H205" s="256"/>
      <c r="I205" s="256"/>
      <c r="J205" s="271">
        <f t="shared" ref="J205:K205" si="379">J100 * (1 - J$115)</f>
        <v>3.201657820949692E-3</v>
      </c>
      <c r="K205" s="271">
        <f t="shared" si="379"/>
        <v>3.201657820949692E-3</v>
      </c>
      <c r="L205" s="271">
        <f t="shared" ref="L205:M205" si="380">L100 * (1 - L$115)</f>
        <v>2.994880155015749E-3</v>
      </c>
      <c r="M205" s="271">
        <f t="shared" si="380"/>
        <v>2.994880155015749E-3</v>
      </c>
      <c r="N205" s="271">
        <f t="shared" ref="N205:P205" si="381">N100 * (1 - N$115)</f>
        <v>2.6344186465768024E-3</v>
      </c>
      <c r="O205" s="271">
        <f t="shared" si="381"/>
        <v>2.1431040313941198E-3</v>
      </c>
      <c r="P205" s="271">
        <f t="shared" si="381"/>
        <v>1.7383006529572379E-3</v>
      </c>
      <c r="Q205" s="271">
        <f t="shared" ref="Q205:S205" si="382">Q100 * (1 - Q$115)</f>
        <v>2.4815437662422976E-3</v>
      </c>
      <c r="R205" s="271">
        <f t="shared" si="382"/>
        <v>-2.2223056193116822E-3</v>
      </c>
      <c r="S205" s="271">
        <f t="shared" si="382"/>
        <v>-2.1264814320569583E-3</v>
      </c>
      <c r="T205" s="271">
        <f t="shared" ref="T205:U205" si="383">T100 * (1 - T$115)</f>
        <v>-2.2223056193116822E-3</v>
      </c>
      <c r="U205" s="271">
        <f t="shared" si="383"/>
        <v>-2.2223056193116822E-3</v>
      </c>
      <c r="V205" s="271">
        <f t="shared" ref="V205:W205" si="384">V100 * (1 - V$115)</f>
        <v>-2.1264814320569583E-3</v>
      </c>
      <c r="W205" s="271">
        <f t="shared" si="384"/>
        <v>-2.1264814320569583E-3</v>
      </c>
      <c r="X205" s="271">
        <f t="shared" ref="X205:Y205" si="385">X100 * (1 - X$115)</f>
        <v>-2.093860432140457E-3</v>
      </c>
      <c r="Y205" s="271">
        <f t="shared" si="385"/>
        <v>-2.093860432140457E-3</v>
      </c>
      <c r="Z205" s="256"/>
      <c r="AA205" s="256"/>
    </row>
    <row r="206" spans="4:27" x14ac:dyDescent="0.35">
      <c r="F206" t="s">
        <v>195</v>
      </c>
      <c r="G206" t="s">
        <v>269</v>
      </c>
      <c r="H206" s="256"/>
      <c r="I206" s="256"/>
      <c r="J206" s="271">
        <f t="shared" ref="J206:K206" si="386">J101 * (1 - J$116)</f>
        <v>2.2651477960569039E-3</v>
      </c>
      <c r="K206" s="271">
        <f t="shared" si="386"/>
        <v>2.2651477960569039E-3</v>
      </c>
      <c r="L206" s="271">
        <f t="shared" ref="L206:M206" si="387">L101 * (1 - L$116)</f>
        <v>2.1188542192732587E-3</v>
      </c>
      <c r="M206" s="271">
        <f t="shared" si="387"/>
        <v>2.1188542192732587E-3</v>
      </c>
      <c r="N206" s="271">
        <f t="shared" ref="N206:P206" si="388">N101 * (1 - N$116)</f>
        <v>1.8638305293395131E-3</v>
      </c>
      <c r="O206" s="271">
        <f t="shared" si="388"/>
        <v>1.5162292927334456E-3</v>
      </c>
      <c r="P206" s="271">
        <f t="shared" si="388"/>
        <v>0</v>
      </c>
      <c r="Q206" s="271">
        <f t="shared" ref="Q206:S206" si="389">Q101 * (1 - Q$116)</f>
        <v>1.7556727505799296E-3</v>
      </c>
      <c r="R206" s="271">
        <f t="shared" si="389"/>
        <v>-1.5722637949659357E-3</v>
      </c>
      <c r="S206" s="271">
        <f t="shared" si="389"/>
        <v>-1.5044689340820831E-3</v>
      </c>
      <c r="T206" s="271">
        <f t="shared" ref="T206:U206" si="390">T101 * (1 - T$116)</f>
        <v>-1.5722637949659357E-3</v>
      </c>
      <c r="U206" s="271">
        <f t="shared" si="390"/>
        <v>-1.5722637949659357E-3</v>
      </c>
      <c r="V206" s="271">
        <f t="shared" ref="V206:W206" si="391">V101 * (1 - V$116)</f>
        <v>-1.5044689340820831E-3</v>
      </c>
      <c r="W206" s="271">
        <f t="shared" si="391"/>
        <v>-1.5044689340820831E-3</v>
      </c>
      <c r="X206" s="271">
        <f t="shared" ref="X206:Y206" si="392">X101 * (1 - X$116)</f>
        <v>-1.4813898325046013E-3</v>
      </c>
      <c r="Y206" s="271">
        <f t="shared" si="392"/>
        <v>-1.4813898325046013E-3</v>
      </c>
      <c r="Z206" s="256"/>
      <c r="AA206" s="256"/>
    </row>
    <row r="207" spans="4:27" x14ac:dyDescent="0.35">
      <c r="F207" t="s">
        <v>196</v>
      </c>
      <c r="G207" t="s">
        <v>269</v>
      </c>
      <c r="H207" s="256"/>
      <c r="I207" s="256"/>
      <c r="J207" s="271">
        <f t="shared" ref="J207:K207" si="393">J102 * (1 - J$117)</f>
        <v>0</v>
      </c>
      <c r="K207" s="271">
        <f t="shared" si="393"/>
        <v>0</v>
      </c>
      <c r="L207" s="271">
        <f t="shared" ref="L207:M207" si="394">L102 * (1 - L$117)</f>
        <v>0</v>
      </c>
      <c r="M207" s="271">
        <f t="shared" si="394"/>
        <v>0</v>
      </c>
      <c r="N207" s="271">
        <f t="shared" ref="N207:P207" si="395">N102 * (1 - N$117)</f>
        <v>0</v>
      </c>
      <c r="O207" s="271">
        <f t="shared" si="395"/>
        <v>0</v>
      </c>
      <c r="P207" s="271">
        <f t="shared" si="395"/>
        <v>0</v>
      </c>
      <c r="Q207" s="271">
        <f t="shared" ref="Q207:S207" si="396">Q102 * (1 - Q$117)</f>
        <v>0</v>
      </c>
      <c r="R207" s="271">
        <f t="shared" si="396"/>
        <v>0</v>
      </c>
      <c r="S207" s="271">
        <f t="shared" si="396"/>
        <v>0</v>
      </c>
      <c r="T207" s="271">
        <f t="shared" ref="T207:U207" si="397">T102 * (1 - T$117)</f>
        <v>0</v>
      </c>
      <c r="U207" s="271">
        <f t="shared" si="397"/>
        <v>0</v>
      </c>
      <c r="V207" s="271">
        <f t="shared" ref="V207:W207" si="398">V102 * (1 - V$117)</f>
        <v>0</v>
      </c>
      <c r="W207" s="271">
        <f t="shared" si="398"/>
        <v>0</v>
      </c>
      <c r="X207" s="271">
        <f t="shared" ref="X207:Y207" si="399">X102 * (1 - X$117)</f>
        <v>0</v>
      </c>
      <c r="Y207" s="271">
        <f t="shared" si="399"/>
        <v>0</v>
      </c>
      <c r="Z207" s="256"/>
      <c r="AA207" s="256"/>
    </row>
    <row r="208" spans="4:27" x14ac:dyDescent="0.35">
      <c r="F208" t="s">
        <v>197</v>
      </c>
      <c r="G208" t="s">
        <v>269</v>
      </c>
      <c r="H208" s="256"/>
      <c r="I208" s="256"/>
      <c r="J208" s="271">
        <f t="shared" ref="J208:K208" si="400">J103 * (1 - J$118)</f>
        <v>1.2701389782026598E-2</v>
      </c>
      <c r="K208" s="271">
        <f t="shared" si="400"/>
        <v>1.2701389782026598E-2</v>
      </c>
      <c r="L208" s="271">
        <f t="shared" ref="L208:M208" si="401">L103 * (1 - L$118)</f>
        <v>1.188107609451778E-2</v>
      </c>
      <c r="M208" s="271">
        <f t="shared" si="401"/>
        <v>1.188107609451778E-2</v>
      </c>
      <c r="N208" s="271">
        <f t="shared" ref="N208:P208" si="402">N103 * (1 - N$118)</f>
        <v>8.3608630154700641E-3</v>
      </c>
      <c r="O208" s="271">
        <f t="shared" si="402"/>
        <v>0</v>
      </c>
      <c r="P208" s="271">
        <f t="shared" si="402"/>
        <v>0</v>
      </c>
      <c r="Q208" s="271">
        <f t="shared" ref="Q208:S208" si="403">Q103 * (1 - Q$118)</f>
        <v>9.8446043890013137E-3</v>
      </c>
      <c r="R208" s="271">
        <f t="shared" si="403"/>
        <v>-8.8161732028231073E-3</v>
      </c>
      <c r="S208" s="271">
        <f t="shared" si="403"/>
        <v>-8.4360262849032131E-3</v>
      </c>
      <c r="T208" s="271">
        <f t="shared" ref="T208:U208" si="404">T103 * (1 - T$118)</f>
        <v>-8.8161732028231073E-3</v>
      </c>
      <c r="U208" s="271">
        <f t="shared" si="404"/>
        <v>-8.8161732028231073E-3</v>
      </c>
      <c r="V208" s="271">
        <f t="shared" ref="V208:W208" si="405">V103 * (1 - V$118)</f>
        <v>-8.4360262849032131E-3</v>
      </c>
      <c r="W208" s="271">
        <f t="shared" si="405"/>
        <v>-8.4360262849032131E-3</v>
      </c>
      <c r="X208" s="271">
        <f t="shared" ref="X208:Y208" si="406">X103 * (1 - X$118)</f>
        <v>0</v>
      </c>
      <c r="Y208" s="271">
        <f t="shared" si="406"/>
        <v>0</v>
      </c>
      <c r="Z208" s="256"/>
      <c r="AA208" s="256"/>
    </row>
    <row r="209" spans="2:27" x14ac:dyDescent="0.35">
      <c r="F209" t="s">
        <v>198</v>
      </c>
      <c r="G209" t="s">
        <v>269</v>
      </c>
      <c r="H209" s="256"/>
      <c r="I209" s="256"/>
      <c r="J209" s="271">
        <f t="shared" ref="J209:K209" si="407">J104 * (1 - J$119)</f>
        <v>4.8776303621207622E-3</v>
      </c>
      <c r="K209" s="271">
        <f t="shared" si="407"/>
        <v>4.8776303621207622E-3</v>
      </c>
      <c r="L209" s="271">
        <f t="shared" ref="L209:M209" si="408">L104 * (1 - L$119)</f>
        <v>4.5626107447936702E-3</v>
      </c>
      <c r="M209" s="271">
        <f t="shared" si="408"/>
        <v>4.5626107447936702E-3</v>
      </c>
      <c r="N209" s="271">
        <f t="shared" ref="N209:P209" si="409">N104 * (1 - N$119)</f>
        <v>0</v>
      </c>
      <c r="O209" s="271">
        <f t="shared" si="409"/>
        <v>0</v>
      </c>
      <c r="P209" s="271">
        <f t="shared" si="409"/>
        <v>0</v>
      </c>
      <c r="Q209" s="271">
        <f t="shared" ref="Q209:S209" si="410">Q104 * (1 - Q$119)</f>
        <v>3.7805580408853852E-3</v>
      </c>
      <c r="R209" s="271">
        <f t="shared" si="410"/>
        <v>-3.3856164427499484E-3</v>
      </c>
      <c r="S209" s="271">
        <f t="shared" si="410"/>
        <v>0</v>
      </c>
      <c r="T209" s="271">
        <f t="shared" ref="T209:U209" si="411">T104 * (1 - T$119)</f>
        <v>-3.3856164427499484E-3</v>
      </c>
      <c r="U209" s="271">
        <f t="shared" si="411"/>
        <v>-3.3856164427499484E-3</v>
      </c>
      <c r="V209" s="271">
        <f t="shared" ref="V209:W209" si="412">V104 * (1 - V$119)</f>
        <v>0</v>
      </c>
      <c r="W209" s="271">
        <f t="shared" si="412"/>
        <v>0</v>
      </c>
      <c r="X209" s="271">
        <f t="shared" ref="X209:Y209" si="413">X104 * (1 - X$119)</f>
        <v>0</v>
      </c>
      <c r="Y209" s="271">
        <f t="shared" si="413"/>
        <v>0</v>
      </c>
      <c r="Z209" s="256"/>
      <c r="AA209" s="256"/>
    </row>
    <row r="210" spans="2:27" x14ac:dyDescent="0.35">
      <c r="F210" t="s">
        <v>199</v>
      </c>
      <c r="G210" t="s">
        <v>269</v>
      </c>
      <c r="H210" s="256"/>
      <c r="I210" s="256"/>
      <c r="J210" s="271">
        <f t="shared" ref="J210:K210" si="414">J105 * (1 - J$120)</f>
        <v>0</v>
      </c>
      <c r="K210" s="271">
        <f t="shared" si="414"/>
        <v>0</v>
      </c>
      <c r="L210" s="271">
        <f t="shared" ref="L210:M210" si="415">L105 * (1 - L$120)</f>
        <v>0</v>
      </c>
      <c r="M210" s="271">
        <f t="shared" si="415"/>
        <v>0</v>
      </c>
      <c r="N210" s="271">
        <f t="shared" ref="N210:P210" si="416">N105 * (1 - N$120)</f>
        <v>0</v>
      </c>
      <c r="O210" s="271">
        <f t="shared" si="416"/>
        <v>0</v>
      </c>
      <c r="P210" s="271">
        <f t="shared" si="416"/>
        <v>0</v>
      </c>
      <c r="Q210" s="271">
        <f t="shared" ref="Q210:S210" si="417">Q105 * (1 - Q$120)</f>
        <v>9.7688657709273704E-3</v>
      </c>
      <c r="R210" s="271">
        <f t="shared" si="417"/>
        <v>0</v>
      </c>
      <c r="S210" s="271">
        <f t="shared" si="417"/>
        <v>0</v>
      </c>
      <c r="T210" s="271">
        <f t="shared" ref="T210:U210" si="418">T105 * (1 - T$120)</f>
        <v>0</v>
      </c>
      <c r="U210" s="271">
        <f t="shared" si="418"/>
        <v>0</v>
      </c>
      <c r="V210" s="271">
        <f t="shared" ref="V210:W210" si="419">V105 * (1 - V$120)</f>
        <v>0</v>
      </c>
      <c r="W210" s="271">
        <f t="shared" si="419"/>
        <v>0</v>
      </c>
      <c r="X210" s="271">
        <f t="shared" ref="X210:Y210" si="420">X105 * (1 - X$120)</f>
        <v>0</v>
      </c>
      <c r="Y210" s="271">
        <f t="shared" si="420"/>
        <v>0</v>
      </c>
      <c r="Z210" s="256"/>
      <c r="AA210" s="256"/>
    </row>
    <row r="211" spans="2:27" x14ac:dyDescent="0.35">
      <c r="D211"/>
      <c r="F211" s="19" t="s">
        <v>375</v>
      </c>
      <c r="G211" s="19" t="s">
        <v>269</v>
      </c>
      <c r="H211" s="255"/>
      <c r="I211" s="255" t="s">
        <v>154</v>
      </c>
      <c r="J211" s="269"/>
      <c r="K211" s="269"/>
      <c r="L211" s="269"/>
      <c r="M211" s="269"/>
      <c r="N211" s="269"/>
      <c r="O211" s="269"/>
      <c r="P211" s="269"/>
      <c r="Q211" s="270">
        <f>Q106</f>
        <v>2.8663816719090116</v>
      </c>
      <c r="R211" s="269"/>
      <c r="S211" s="269"/>
      <c r="T211" s="269"/>
      <c r="U211" s="269"/>
      <c r="V211" s="269"/>
      <c r="W211" s="269"/>
      <c r="X211" s="269"/>
      <c r="Y211" s="269"/>
      <c r="Z211" s="256"/>
      <c r="AA211" s="256" t="s">
        <v>653</v>
      </c>
    </row>
    <row r="212" spans="2:27" x14ac:dyDescent="0.35">
      <c r="D212"/>
      <c r="F212" s="28" t="s">
        <v>376</v>
      </c>
      <c r="G212" s="28" t="s">
        <v>269</v>
      </c>
      <c r="H212" s="258"/>
      <c r="I212" s="258"/>
      <c r="J212" s="259"/>
      <c r="K212" s="259"/>
      <c r="L212" s="259"/>
      <c r="M212" s="259"/>
      <c r="N212" s="259"/>
      <c r="O212" s="259"/>
      <c r="P212" s="259"/>
      <c r="Q212" s="259"/>
      <c r="R212" s="259"/>
      <c r="S212" s="259"/>
      <c r="T212" s="259"/>
      <c r="U212" s="259"/>
      <c r="V212" s="259"/>
      <c r="W212" s="259"/>
      <c r="X212" s="259"/>
      <c r="Y212" s="259"/>
      <c r="Z212" s="256"/>
      <c r="AA212" s="256"/>
    </row>
    <row r="213" spans="2:27" x14ac:dyDescent="0.35">
      <c r="J213" s="79"/>
      <c r="K213" s="79"/>
      <c r="L213" s="79"/>
      <c r="M213" s="79"/>
      <c r="N213" s="79"/>
      <c r="O213" s="79"/>
      <c r="P213" s="79"/>
      <c r="Q213" s="79"/>
      <c r="R213" s="79"/>
      <c r="S213" s="79"/>
      <c r="T213" s="79"/>
      <c r="U213" s="79"/>
      <c r="V213" s="79"/>
      <c r="W213" s="79"/>
      <c r="X213" s="79"/>
      <c r="Y213" s="79"/>
    </row>
    <row r="214" spans="2:27" x14ac:dyDescent="0.35">
      <c r="C214" s="26" t="str">
        <f ca="1">INDEX('Version control'!$H$38:$H$61,MATCH($A$1,'Version control'!$F$38:$F$61,0),1)&amp;"-H: Unit rates, post application of standing charges"</f>
        <v>Section 111-H: Unit rates, post application of standing charges</v>
      </c>
      <c r="D214" s="26"/>
      <c r="E214" s="26"/>
      <c r="F214" s="26"/>
      <c r="G214" s="26"/>
      <c r="H214" s="26"/>
      <c r="I214" s="26"/>
      <c r="J214" s="80"/>
      <c r="K214" s="80"/>
      <c r="L214" s="80"/>
      <c r="M214" s="80"/>
      <c r="N214" s="80"/>
      <c r="O214" s="80"/>
      <c r="P214" s="80"/>
      <c r="Q214" s="80"/>
      <c r="R214" s="80"/>
      <c r="S214" s="80"/>
      <c r="T214" s="80"/>
      <c r="U214" s="80"/>
      <c r="V214" s="80"/>
      <c r="W214" s="80"/>
      <c r="X214" s="80"/>
      <c r="Y214" s="80"/>
      <c r="Z214" s="26"/>
      <c r="AA214" s="26"/>
    </row>
    <row r="215" spans="2:27" x14ac:dyDescent="0.35">
      <c r="J215" s="79"/>
      <c r="K215" s="79"/>
      <c r="L215" s="79"/>
      <c r="M215" s="79"/>
      <c r="N215" s="79"/>
      <c r="O215" s="79"/>
      <c r="P215" s="79"/>
      <c r="Q215" s="79"/>
      <c r="R215" s="79"/>
      <c r="S215" s="79"/>
      <c r="T215" s="79"/>
      <c r="U215" s="79"/>
      <c r="V215" s="79"/>
      <c r="W215" s="79"/>
      <c r="X215" s="79"/>
      <c r="Y215" s="79"/>
      <c r="AA215" s="3"/>
    </row>
    <row r="216" spans="2:27" x14ac:dyDescent="0.35">
      <c r="D216"/>
      <c r="E216" s="27" t="s">
        <v>656</v>
      </c>
      <c r="F216" s="2"/>
      <c r="J216" s="79"/>
      <c r="K216" s="79"/>
      <c r="L216" s="79"/>
      <c r="M216" s="79"/>
      <c r="N216" s="79"/>
      <c r="O216" s="79"/>
      <c r="P216" s="79"/>
      <c r="Q216" s="79"/>
      <c r="R216" s="79"/>
      <c r="S216" s="79"/>
      <c r="T216" s="79"/>
      <c r="U216" s="79"/>
      <c r="V216" s="79"/>
      <c r="W216" s="79"/>
      <c r="X216" s="79"/>
      <c r="Y216" s="79"/>
      <c r="AA216" s="3"/>
    </row>
    <row r="217" spans="2:27" x14ac:dyDescent="0.35">
      <c r="D217"/>
      <c r="F217" s="19" t="s">
        <v>657</v>
      </c>
      <c r="G217" s="19" t="s">
        <v>269</v>
      </c>
      <c r="H217" s="255"/>
      <c r="I217" s="255"/>
      <c r="J217" s="405">
        <f t="shared" ref="J217:K217" si="421">SUM(J127:J138,J141:J152)</f>
        <v>9.3171116944398857</v>
      </c>
      <c r="K217" s="405">
        <f t="shared" si="421"/>
        <v>9.3171116944398857</v>
      </c>
      <c r="L217" s="405">
        <f t="shared" ref="L217:M217" si="422">SUM(L127:L138,L141:L152)</f>
        <v>8.7153701226779656</v>
      </c>
      <c r="M217" s="405">
        <f t="shared" si="422"/>
        <v>8.7153701226779656</v>
      </c>
      <c r="N217" s="405">
        <f t="shared" ref="N217:P217" si="423">SUM(N127:N138,N141:N152)</f>
        <v>6.8094647784894793</v>
      </c>
      <c r="O217" s="405">
        <f t="shared" si="423"/>
        <v>4.5451823626979291</v>
      </c>
      <c r="P217" s="405">
        <f t="shared" si="423"/>
        <v>3.6111056246732378</v>
      </c>
      <c r="Q217" s="405">
        <f t="shared" ref="Q217:S217" si="424">SUM(Q127:Q138,Q141:Q152)</f>
        <v>25.14626087817571</v>
      </c>
      <c r="R217" s="405">
        <f t="shared" si="424"/>
        <v>-6.4671088642966206</v>
      </c>
      <c r="S217" s="405">
        <f t="shared" si="424"/>
        <v>-5.7431990235840562</v>
      </c>
      <c r="T217" s="405">
        <f t="shared" ref="T217:U217" si="425">SUM(T127:T138,T141:T152)</f>
        <v>-6.4671088642966206</v>
      </c>
      <c r="U217" s="405">
        <f t="shared" si="425"/>
        <v>-6.4671088642966206</v>
      </c>
      <c r="V217" s="405">
        <f t="shared" ref="V217:W217" si="426">SUM(V127:V138,V141:V152)</f>
        <v>-5.7431990235840562</v>
      </c>
      <c r="W217" s="405">
        <f t="shared" si="426"/>
        <v>-5.7431990235840562</v>
      </c>
      <c r="X217" s="405">
        <f t="shared" ref="X217:Y217" si="427">SUM(X127:X138,X141:X152)</f>
        <v>-4.4077410438205549</v>
      </c>
      <c r="Y217" s="405">
        <f t="shared" si="427"/>
        <v>-4.4077410438205549</v>
      </c>
      <c r="Z217" s="256"/>
      <c r="AA217" s="256"/>
    </row>
    <row r="218" spans="2:27" x14ac:dyDescent="0.35">
      <c r="D218"/>
      <c r="F218" t="s">
        <v>658</v>
      </c>
      <c r="G218" t="s">
        <v>269</v>
      </c>
      <c r="H218" s="256"/>
      <c r="I218" s="256"/>
      <c r="J218" s="405">
        <f t="shared" ref="J218:K218" si="428">SUM(J157:J168,J171:J182)</f>
        <v>1.1840664639985359</v>
      </c>
      <c r="K218" s="405">
        <f t="shared" si="428"/>
        <v>1.1840664639985359</v>
      </c>
      <c r="L218" s="405">
        <f t="shared" ref="L218:M218" si="429">SUM(L157:L168,L171:L182)</f>
        <v>1.1075940508211499</v>
      </c>
      <c r="M218" s="405">
        <f t="shared" si="429"/>
        <v>1.1075940508211499</v>
      </c>
      <c r="N218" s="405">
        <f t="shared" ref="N218:P218" si="430">SUM(N157:N168,N171:N182)</f>
        <v>0.74505952499466721</v>
      </c>
      <c r="O218" s="405">
        <f t="shared" si="430"/>
        <v>0.34012821867000353</v>
      </c>
      <c r="P218" s="405">
        <f t="shared" si="430"/>
        <v>0.23969521230552152</v>
      </c>
      <c r="Q218" s="405">
        <f t="shared" ref="Q218:S218" si="431">SUM(Q157:Q168,Q171:Q182)</f>
        <v>3.9724336516911984</v>
      </c>
      <c r="R218" s="405">
        <f t="shared" si="431"/>
        <v>-0.82187344923759953</v>
      </c>
      <c r="S218" s="405">
        <f t="shared" si="431"/>
        <v>-0.66738501200260569</v>
      </c>
      <c r="T218" s="405">
        <f t="shared" ref="T218:U218" si="432">SUM(T157:T168,T171:T182)</f>
        <v>-0.82187344923759953</v>
      </c>
      <c r="U218" s="405">
        <f t="shared" si="432"/>
        <v>-0.82187344923759953</v>
      </c>
      <c r="V218" s="405">
        <f t="shared" ref="V218:W218" si="433">SUM(V157:V168,V171:V182)</f>
        <v>-0.66738501200260569</v>
      </c>
      <c r="W218" s="405">
        <f t="shared" si="433"/>
        <v>-0.66738501200260569</v>
      </c>
      <c r="X218" s="405">
        <f t="shared" ref="X218:Y218" si="434">SUM(X157:X168,X171:X182)</f>
        <v>-0.32883259082754929</v>
      </c>
      <c r="Y218" s="405">
        <f t="shared" si="434"/>
        <v>-0.32883259082754929</v>
      </c>
      <c r="Z218" s="256"/>
      <c r="AA218" s="256"/>
    </row>
    <row r="219" spans="2:27" x14ac:dyDescent="0.35">
      <c r="D219"/>
      <c r="F219" s="28" t="s">
        <v>659</v>
      </c>
      <c r="G219" s="28" t="s">
        <v>269</v>
      </c>
      <c r="H219" s="258"/>
      <c r="I219" s="258"/>
      <c r="J219" s="262">
        <f t="shared" ref="J219:K219" si="435">SUM(J187:J198,J201:J212)</f>
        <v>5.710557616527933E-2</v>
      </c>
      <c r="K219" s="262">
        <f t="shared" si="435"/>
        <v>5.710557616527933E-2</v>
      </c>
      <c r="L219" s="262">
        <f t="shared" ref="L219:M219" si="436">SUM(L187:L198,L201:L212)</f>
        <v>5.3417437578449689E-2</v>
      </c>
      <c r="M219" s="262">
        <f t="shared" si="436"/>
        <v>5.3417437578449689E-2</v>
      </c>
      <c r="N219" s="262">
        <f t="shared" ref="N219:P219" si="437">SUM(N187:N198,N201:N212)</f>
        <v>3.5352393244154082E-2</v>
      </c>
      <c r="O219" s="262">
        <f t="shared" si="437"/>
        <v>1.5257810460316851E-2</v>
      </c>
      <c r="P219" s="262">
        <f t="shared" si="437"/>
        <v>1.0544425190881661E-2</v>
      </c>
      <c r="Q219" s="262">
        <f t="shared" ref="Q219:S219" si="438">SUM(Q187:Q198,Q201:Q212)</f>
        <v>2.9210578444349151</v>
      </c>
      <c r="R219" s="262">
        <f t="shared" si="438"/>
        <v>-3.9637603361526004E-2</v>
      </c>
      <c r="S219" s="262">
        <f t="shared" si="438"/>
        <v>-3.1885340997794977E-2</v>
      </c>
      <c r="T219" s="262">
        <f t="shared" ref="T219:U219" si="439">SUM(T187:T198,T201:T212)</f>
        <v>-3.9637603361526004E-2</v>
      </c>
      <c r="U219" s="262">
        <f t="shared" si="439"/>
        <v>-3.9637603361526004E-2</v>
      </c>
      <c r="V219" s="262">
        <f t="shared" ref="V219:W219" si="440">SUM(V187:V198,V201:V212)</f>
        <v>-3.1885340997794977E-2</v>
      </c>
      <c r="W219" s="262">
        <f t="shared" si="440"/>
        <v>-3.1885340997794977E-2</v>
      </c>
      <c r="X219" s="262">
        <f t="shared" ref="X219:Y219" si="441">SUM(X187:X198,X201:X212)</f>
        <v>-1.4744214024831974E-2</v>
      </c>
      <c r="Y219" s="262">
        <f t="shared" si="441"/>
        <v>-1.4744214024831974E-2</v>
      </c>
      <c r="Z219" s="256"/>
      <c r="AA219" s="256"/>
    </row>
    <row r="221" spans="2:27" x14ac:dyDescent="0.35">
      <c r="B221" s="25" t="s">
        <v>231</v>
      </c>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row>
    <row r="222" spans="2:27" x14ac:dyDescent="0.35">
      <c r="AA222" s="3"/>
    </row>
    <row r="223" spans="2:27" x14ac:dyDescent="0.35">
      <c r="E223" t="s">
        <v>232</v>
      </c>
      <c r="G223" s="6" t="s">
        <v>55</v>
      </c>
      <c r="H223" s="93">
        <f t="array" ref="H223">SUM(IF(ISERROR(H22:Y219), 1))</f>
        <v>0</v>
      </c>
      <c r="AA223" s="3"/>
    </row>
    <row r="225" spans="2:27" x14ac:dyDescent="0.35">
      <c r="B225" s="25" t="s">
        <v>106</v>
      </c>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row>
  </sheetData>
  <sheetProtection sheet="1" objects="1" formatCells="0" formatColumns="0" formatRows="0" sort="0" autoFilter="0"/>
  <conditionalFormatting sqref="A4:I4 Z4:XFD4">
    <cfRule type="expression" dxfId="89" priority="10">
      <formula>LEFT($A$4,1) &lt;&gt; "0"</formula>
    </cfRule>
  </conditionalFormatting>
  <conditionalFormatting sqref="N4:P4">
    <cfRule type="expression" dxfId="88" priority="9">
      <formula>LEFT($A$4,1) &lt;&gt; "0"</formula>
    </cfRule>
  </conditionalFormatting>
  <conditionalFormatting sqref="L4:M4">
    <cfRule type="expression" dxfId="87" priority="8">
      <formula>LEFT($A$4,1) &lt;&gt; "0"</formula>
    </cfRule>
  </conditionalFormatting>
  <conditionalFormatting sqref="J4:K4">
    <cfRule type="expression" dxfId="86" priority="7">
      <formula>LEFT($A$4,1) &lt;&gt; "0"</formula>
    </cfRule>
  </conditionalFormatting>
  <conditionalFormatting sqref="Q4">
    <cfRule type="expression" dxfId="85" priority="6">
      <formula>LEFT($A$4,1) &lt;&gt; "0"</formula>
    </cfRule>
  </conditionalFormatting>
  <conditionalFormatting sqref="R4:S4">
    <cfRule type="expression" dxfId="84" priority="5">
      <formula>LEFT($A$4,1) &lt;&gt; "0"</formula>
    </cfRule>
  </conditionalFormatting>
  <conditionalFormatting sqref="T4:U4">
    <cfRule type="expression" dxfId="83" priority="4">
      <formula>LEFT($A$4,1) &lt;&gt; "0"</formula>
    </cfRule>
  </conditionalFormatting>
  <conditionalFormatting sqref="V4:W4">
    <cfRule type="expression" dxfId="82" priority="3">
      <formula>LEFT($A$4,1) &lt;&gt; "0"</formula>
    </cfRule>
  </conditionalFormatting>
  <conditionalFormatting sqref="X4:Y4">
    <cfRule type="expression" dxfId="81" priority="2">
      <formula>LEFT($A$4,1) &lt;&gt; "0"</formula>
    </cfRule>
  </conditionalFormatting>
  <conditionalFormatting sqref="H223">
    <cfRule type="cellIs" dxfId="80" priority="1" operator="greaterThan">
      <formula>0</formula>
    </cfRule>
  </conditionalFormatting>
  <hyperlinks>
    <hyperlink ref="B5:F5" location="'Model map'!A1" display="Click here to return to model map" xr:uid="{00000000-0004-0000-13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9" width="24.54296875" hidden="1" customWidth="1"/>
    <col min="30" max="30" width="3.54296875" hidden="1" customWidth="1"/>
    <col min="31" max="31" width="15.453125" hidden="1" customWidth="1"/>
    <col min="32" max="315" width="24.54296875" hidden="1" customWidth="1"/>
    <col min="316" max="16384" width="8.54296875" hidden="1"/>
  </cols>
  <sheetData>
    <row r="1" spans="1:27" s="1" customFormat="1" x14ac:dyDescent="0.35">
      <c r="A1" s="1" t="str">
        <f ca="1">MID(CELL("filename",A1),FIND("]",CELL("filename",A1))+1,255)</f>
        <v>Capacity charges</v>
      </c>
    </row>
    <row r="2" spans="1:27" s="1" customFormat="1" x14ac:dyDescent="0.35">
      <c r="A2" s="1" t="str">
        <f>Cover!D21&amp;" - "&amp;Cover!D23</f>
        <v>Southern Electric Power Distribution - Final</v>
      </c>
    </row>
    <row r="3" spans="1:27" s="5" customFormat="1" x14ac:dyDescent="0.35">
      <c r="A3" s="5" t="str">
        <f>Cover!D2&amp;" - "&amp;Cover!D8&amp;" v"&amp;Cover!D10&amp;" - "&amp;Cover!D19</f>
        <v>CDCM charging model - Release for charge setting v9 - 2024/25</v>
      </c>
    </row>
    <row r="4" spans="1:27" x14ac:dyDescent="0.35">
      <c r="A4" s="11" t="str">
        <f>H295 &amp; IF(H295 = 1, " issue", " issues") &amp;" identified in checks on this sheet"</f>
        <v>0 issues identified in checks on this sheet</v>
      </c>
      <c r="B4" s="12"/>
      <c r="C4" s="12"/>
      <c r="D4" s="12"/>
      <c r="E4" s="12"/>
      <c r="F4" s="12"/>
      <c r="G4" s="12"/>
      <c r="H4" s="13"/>
      <c r="I4" s="13"/>
      <c r="AA4" s="14"/>
    </row>
    <row r="5" spans="1:27" ht="43.5" x14ac:dyDescent="0.3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3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35">
      <c r="D9" s="24" t="s">
        <v>684</v>
      </c>
      <c r="E9"/>
    </row>
    <row r="10" spans="1:27" x14ac:dyDescent="0.35">
      <c r="D10" s="24" t="s">
        <v>685</v>
      </c>
      <c r="E10"/>
    </row>
    <row r="11" spans="1:27" x14ac:dyDescent="0.35">
      <c r="D11" s="24" t="s">
        <v>686</v>
      </c>
      <c r="E11"/>
    </row>
    <row r="12" spans="1:27" x14ac:dyDescent="0.35">
      <c r="D12" s="24" t="s">
        <v>687</v>
      </c>
      <c r="E12"/>
    </row>
    <row r="13" spans="1:27" x14ac:dyDescent="0.35">
      <c r="D13" s="24" t="s">
        <v>688</v>
      </c>
      <c r="E13"/>
    </row>
    <row r="14" spans="1:27" x14ac:dyDescent="0.35">
      <c r="D14" s="24" t="s">
        <v>689</v>
      </c>
      <c r="E14"/>
    </row>
    <row r="15" spans="1:27" x14ac:dyDescent="0.35">
      <c r="D15" s="24" t="s">
        <v>690</v>
      </c>
    </row>
    <row r="17" spans="2:27" x14ac:dyDescent="0.35">
      <c r="B17" s="25" t="s">
        <v>691</v>
      </c>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spans="2:27" x14ac:dyDescent="0.35">
      <c r="D18"/>
      <c r="E18"/>
    </row>
    <row r="19" spans="2:27" x14ac:dyDescent="0.35">
      <c r="C19" s="26" t="str">
        <f ca="1">INDEX('Version control'!$H$38:$H$61,MATCH($A$1,'Version control'!$F$38:$F$61,0),1)&amp;"-A: Inputs to capacity charge calculations"</f>
        <v>Section 112-A: Inputs to capacity charge calculations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1" spans="2:27" x14ac:dyDescent="0.35">
      <c r="E21" s="27" t="s">
        <v>692</v>
      </c>
      <c r="F21" s="2"/>
    </row>
    <row r="22" spans="2:27" x14ac:dyDescent="0.35">
      <c r="D22"/>
      <c r="E22" s="24" t="s">
        <v>693</v>
      </c>
      <c r="F22" s="2"/>
    </row>
    <row r="23" spans="2:27" x14ac:dyDescent="0.35">
      <c r="C23" s="78"/>
      <c r="F23" s="98" t="s">
        <v>189</v>
      </c>
      <c r="G23" s="98" t="s">
        <v>167</v>
      </c>
      <c r="H23" s="197">
        <f>'System peak demand'!H226</f>
        <v>4.4943759092979985E-2</v>
      </c>
    </row>
    <row r="24" spans="2:27" x14ac:dyDescent="0.35">
      <c r="C24" s="78"/>
      <c r="F24" t="s">
        <v>191</v>
      </c>
      <c r="G24" t="s">
        <v>167</v>
      </c>
      <c r="H24" s="21">
        <f>'System peak demand'!H226</f>
        <v>4.4943759092979985E-2</v>
      </c>
    </row>
    <row r="25" spans="2:27" x14ac:dyDescent="0.35">
      <c r="C25" s="78"/>
      <c r="F25" t="s">
        <v>192</v>
      </c>
      <c r="G25" t="s">
        <v>167</v>
      </c>
      <c r="H25" s="21">
        <f>'System peak demand'!H227</f>
        <v>7.6876214739846072E-2</v>
      </c>
    </row>
    <row r="26" spans="2:27" x14ac:dyDescent="0.35">
      <c r="C26" s="78"/>
      <c r="F26" t="s">
        <v>193</v>
      </c>
      <c r="G26" t="s">
        <v>167</v>
      </c>
      <c r="H26" s="21">
        <f>'System peak demand'!H228</f>
        <v>7.6876214739846072E-2</v>
      </c>
    </row>
    <row r="27" spans="2:27" x14ac:dyDescent="0.35">
      <c r="C27" s="78"/>
      <c r="F27" t="s">
        <v>194</v>
      </c>
      <c r="G27" t="s">
        <v>167</v>
      </c>
      <c r="H27" s="21">
        <f>'System peak demand'!H229</f>
        <v>0.15995031141032889</v>
      </c>
    </row>
    <row r="28" spans="2:27" x14ac:dyDescent="0.35">
      <c r="C28" s="78"/>
      <c r="F28" t="s">
        <v>195</v>
      </c>
      <c r="G28" t="s">
        <v>167</v>
      </c>
      <c r="H28" s="21">
        <f>'System peak demand'!H230</f>
        <v>0.15995031141032889</v>
      </c>
    </row>
    <row r="29" spans="2:27" x14ac:dyDescent="0.35">
      <c r="C29" s="78"/>
      <c r="F29" t="s">
        <v>196</v>
      </c>
      <c r="G29" t="s">
        <v>167</v>
      </c>
      <c r="H29" s="21">
        <f>'System peak demand'!H231</f>
        <v>7.6876214739846072E-2</v>
      </c>
    </row>
    <row r="30" spans="2:27" x14ac:dyDescent="0.35">
      <c r="C30" s="78"/>
      <c r="F30" t="s">
        <v>197</v>
      </c>
      <c r="G30" t="s">
        <v>167</v>
      </c>
      <c r="H30" s="21">
        <f>'System peak demand'!H232</f>
        <v>0.58913192663215064</v>
      </c>
    </row>
    <row r="31" spans="2:27" x14ac:dyDescent="0.35">
      <c r="C31" s="78"/>
      <c r="F31" t="s">
        <v>198</v>
      </c>
      <c r="G31" t="s">
        <v>167</v>
      </c>
      <c r="H31" s="21">
        <f>'System peak demand'!H233</f>
        <v>0.58913192663215064</v>
      </c>
    </row>
    <row r="32" spans="2:27" x14ac:dyDescent="0.35">
      <c r="C32" s="78"/>
      <c r="F32" t="s">
        <v>199</v>
      </c>
      <c r="G32" t="s">
        <v>167</v>
      </c>
      <c r="H32" s="21">
        <f>'System peak demand'!H234</f>
        <v>1.0694235150633253</v>
      </c>
    </row>
    <row r="33" spans="3:8" x14ac:dyDescent="0.35">
      <c r="C33" s="78"/>
      <c r="F33" t="s">
        <v>375</v>
      </c>
      <c r="G33" t="s">
        <v>167</v>
      </c>
      <c r="H33" s="56"/>
    </row>
    <row r="34" spans="3:8" x14ac:dyDescent="0.35">
      <c r="C34" s="78"/>
      <c r="F34" s="28" t="s">
        <v>376</v>
      </c>
      <c r="G34" s="28" t="s">
        <v>167</v>
      </c>
      <c r="H34" s="58"/>
    </row>
    <row r="35" spans="3:8" x14ac:dyDescent="0.35">
      <c r="C35" s="78"/>
      <c r="F35" s="2"/>
    </row>
    <row r="36" spans="3:8" x14ac:dyDescent="0.35">
      <c r="E36" s="78" t="s">
        <v>393</v>
      </c>
      <c r="F36" s="2"/>
    </row>
    <row r="37" spans="3:8" x14ac:dyDescent="0.35">
      <c r="C37" s="78"/>
      <c r="F37" s="19" t="s">
        <v>189</v>
      </c>
      <c r="G37" s="54" t="s">
        <v>283</v>
      </c>
      <c r="H37" s="114">
        <f t="array" ref="H37:H46">TRANSPOSE('Load &amp; loss characteristics'!J29:S29)</f>
        <v>1</v>
      </c>
    </row>
    <row r="38" spans="3:8" x14ac:dyDescent="0.35">
      <c r="C38" s="78"/>
      <c r="F38" t="s">
        <v>191</v>
      </c>
      <c r="G38" s="23" t="s">
        <v>283</v>
      </c>
      <c r="H38" s="110">
        <v>1</v>
      </c>
    </row>
    <row r="39" spans="3:8" x14ac:dyDescent="0.35">
      <c r="C39" s="78"/>
      <c r="F39" t="s">
        <v>192</v>
      </c>
      <c r="G39" s="23" t="s">
        <v>283</v>
      </c>
      <c r="H39" s="110">
        <v>1.004</v>
      </c>
    </row>
    <row r="40" spans="3:8" x14ac:dyDescent="0.35">
      <c r="C40" s="78"/>
      <c r="F40" t="s">
        <v>193</v>
      </c>
      <c r="G40" s="23" t="s">
        <v>283</v>
      </c>
      <c r="H40" s="110">
        <v>1.008</v>
      </c>
    </row>
    <row r="41" spans="3:8" x14ac:dyDescent="0.35">
      <c r="C41" s="78"/>
      <c r="F41" t="s">
        <v>194</v>
      </c>
      <c r="G41" s="23" t="s">
        <v>283</v>
      </c>
      <c r="H41" s="110">
        <v>1.0129999999999999</v>
      </c>
    </row>
    <row r="42" spans="3:8" x14ac:dyDescent="0.35">
      <c r="C42" s="78"/>
      <c r="F42" t="s">
        <v>195</v>
      </c>
      <c r="G42" s="23" t="s">
        <v>283</v>
      </c>
      <c r="H42" s="110">
        <v>1.018</v>
      </c>
    </row>
    <row r="43" spans="3:8" x14ac:dyDescent="0.35">
      <c r="C43" s="78"/>
      <c r="F43" t="s">
        <v>196</v>
      </c>
      <c r="G43" s="23" t="s">
        <v>283</v>
      </c>
      <c r="H43" s="110">
        <v>1.018</v>
      </c>
    </row>
    <row r="44" spans="3:8" x14ac:dyDescent="0.35">
      <c r="C44" s="78"/>
      <c r="F44" t="s">
        <v>197</v>
      </c>
      <c r="G44" s="23" t="s">
        <v>283</v>
      </c>
      <c r="H44" s="110">
        <v>1.0269999999999999</v>
      </c>
    </row>
    <row r="45" spans="3:8" x14ac:dyDescent="0.35">
      <c r="C45" s="78"/>
      <c r="F45" t="s">
        <v>198</v>
      </c>
      <c r="G45" s="23" t="s">
        <v>283</v>
      </c>
      <c r="H45" s="110">
        <v>1.0429999999999999</v>
      </c>
    </row>
    <row r="46" spans="3:8" x14ac:dyDescent="0.35">
      <c r="C46" s="78"/>
      <c r="F46" t="s">
        <v>199</v>
      </c>
      <c r="G46" s="23" t="s">
        <v>283</v>
      </c>
      <c r="H46" s="110">
        <v>1.0900000000000001</v>
      </c>
    </row>
    <row r="47" spans="3:8" x14ac:dyDescent="0.35">
      <c r="C47" s="78"/>
      <c r="F47" t="s">
        <v>375</v>
      </c>
      <c r="G47" s="23" t="s">
        <v>283</v>
      </c>
      <c r="H47" s="69"/>
    </row>
    <row r="48" spans="3:8" x14ac:dyDescent="0.35">
      <c r="C48" s="78"/>
      <c r="F48" s="28" t="s">
        <v>376</v>
      </c>
      <c r="G48" s="57" t="s">
        <v>283</v>
      </c>
      <c r="H48" s="71"/>
    </row>
    <row r="49" spans="3:8" x14ac:dyDescent="0.35">
      <c r="C49" s="78"/>
      <c r="F49" s="2"/>
      <c r="H49" s="79"/>
    </row>
    <row r="50" spans="3:8" x14ac:dyDescent="0.35">
      <c r="C50" s="78"/>
      <c r="E50" s="78" t="s">
        <v>583</v>
      </c>
      <c r="H50" s="79"/>
    </row>
    <row r="51" spans="3:8" x14ac:dyDescent="0.35">
      <c r="C51" s="78"/>
      <c r="E51" s="24"/>
      <c r="F51" s="19" t="s">
        <v>189</v>
      </c>
      <c r="G51" s="19" t="s">
        <v>584</v>
      </c>
      <c r="H51" s="73"/>
    </row>
    <row r="52" spans="3:8" x14ac:dyDescent="0.35">
      <c r="C52" s="78"/>
      <c r="E52" s="24"/>
      <c r="F52" t="s">
        <v>191</v>
      </c>
      <c r="G52" t="s">
        <v>584</v>
      </c>
      <c r="H52" s="69"/>
    </row>
    <row r="53" spans="3:8" x14ac:dyDescent="0.35">
      <c r="C53" s="78"/>
      <c r="E53" s="24"/>
      <c r="F53" t="s">
        <v>192</v>
      </c>
      <c r="G53" t="s">
        <v>584</v>
      </c>
      <c r="H53" s="110">
        <f t="array" ref="H53:H60">TRANSPOSE('Unit costs'!L114:S114)</f>
        <v>11.019656495328036</v>
      </c>
    </row>
    <row r="54" spans="3:8" x14ac:dyDescent="0.35">
      <c r="C54" s="78"/>
      <c r="E54" s="24"/>
      <c r="F54" t="s">
        <v>193</v>
      </c>
      <c r="G54" t="s">
        <v>584</v>
      </c>
      <c r="H54" s="110">
        <v>2.86267239600968</v>
      </c>
    </row>
    <row r="55" spans="3:8" x14ac:dyDescent="0.35">
      <c r="C55" s="78"/>
      <c r="E55" s="24"/>
      <c r="F55" t="s">
        <v>194</v>
      </c>
      <c r="G55" t="s">
        <v>584</v>
      </c>
      <c r="H55" s="110">
        <v>7.9257295363196567</v>
      </c>
    </row>
    <row r="56" spans="3:8" x14ac:dyDescent="0.35">
      <c r="C56" s="78"/>
      <c r="E56" s="24"/>
      <c r="F56" t="s">
        <v>195</v>
      </c>
      <c r="G56" t="s">
        <v>584</v>
      </c>
      <c r="H56" s="110">
        <v>5.6350686357328161</v>
      </c>
    </row>
    <row r="57" spans="3:8" x14ac:dyDescent="0.35">
      <c r="C57" s="78"/>
      <c r="E57" s="24"/>
      <c r="F57" t="s">
        <v>196</v>
      </c>
      <c r="G57" t="s">
        <v>584</v>
      </c>
      <c r="H57" s="110">
        <v>0</v>
      </c>
    </row>
    <row r="58" spans="3:8" x14ac:dyDescent="0.35">
      <c r="C58" s="78"/>
      <c r="E58" s="24"/>
      <c r="F58" t="s">
        <v>197</v>
      </c>
      <c r="G58" t="s">
        <v>584</v>
      </c>
      <c r="H58" s="110">
        <v>18.398262757384991</v>
      </c>
    </row>
    <row r="59" spans="3:8" x14ac:dyDescent="0.35">
      <c r="C59" s="78"/>
      <c r="E59" s="24"/>
      <c r="F59" t="s">
        <v>198</v>
      </c>
      <c r="G59" t="s">
        <v>584</v>
      </c>
      <c r="H59" s="110">
        <v>7.1754364648735089</v>
      </c>
    </row>
    <row r="60" spans="3:8" x14ac:dyDescent="0.35">
      <c r="C60" s="78"/>
      <c r="E60" s="24"/>
      <c r="F60" t="s">
        <v>199</v>
      </c>
      <c r="G60" t="s">
        <v>584</v>
      </c>
      <c r="H60" s="110">
        <v>19.376652250101426</v>
      </c>
    </row>
    <row r="61" spans="3:8" x14ac:dyDescent="0.35">
      <c r="C61" s="78"/>
      <c r="E61" s="24"/>
      <c r="F61" t="s">
        <v>375</v>
      </c>
      <c r="G61" t="s">
        <v>584</v>
      </c>
      <c r="H61" s="69"/>
    </row>
    <row r="62" spans="3:8" x14ac:dyDescent="0.35">
      <c r="C62" s="78"/>
      <c r="E62" s="24"/>
      <c r="F62" s="28" t="s">
        <v>376</v>
      </c>
      <c r="G62" s="28" t="s">
        <v>584</v>
      </c>
      <c r="H62" s="71"/>
    </row>
    <row r="63" spans="3:8" x14ac:dyDescent="0.35">
      <c r="C63" s="78"/>
      <c r="D63"/>
      <c r="E63" s="24"/>
      <c r="H63" s="79"/>
    </row>
    <row r="64" spans="3:8" x14ac:dyDescent="0.35">
      <c r="C64" s="78"/>
      <c r="E64" s="78" t="s">
        <v>602</v>
      </c>
      <c r="H64" s="79"/>
    </row>
    <row r="65" spans="3:25" x14ac:dyDescent="0.35">
      <c r="C65" s="78"/>
      <c r="F65" s="19" t="s">
        <v>189</v>
      </c>
      <c r="G65" s="19" t="s">
        <v>584</v>
      </c>
      <c r="H65" s="114">
        <f t="array" ref="H65:H74">TRANSPOSE('Unit costs'!J115:S115)</f>
        <v>3.505229242799758</v>
      </c>
    </row>
    <row r="66" spans="3:25" x14ac:dyDescent="0.35">
      <c r="C66" s="78"/>
      <c r="F66" t="s">
        <v>191</v>
      </c>
      <c r="G66" t="s">
        <v>584</v>
      </c>
      <c r="H66" s="110">
        <v>0</v>
      </c>
    </row>
    <row r="67" spans="3:25" x14ac:dyDescent="0.35">
      <c r="C67" s="78"/>
      <c r="F67" t="s">
        <v>192</v>
      </c>
      <c r="G67" t="s">
        <v>584</v>
      </c>
      <c r="H67" s="110">
        <v>7.3409039550583453</v>
      </c>
    </row>
    <row r="68" spans="3:25" x14ac:dyDescent="0.35">
      <c r="C68" s="78"/>
      <c r="F68" t="s">
        <v>193</v>
      </c>
      <c r="G68" t="s">
        <v>584</v>
      </c>
      <c r="H68" s="110">
        <v>1.9070107242284089</v>
      </c>
    </row>
    <row r="69" spans="3:25" x14ac:dyDescent="0.35">
      <c r="C69" s="78"/>
      <c r="F69" t="s">
        <v>194</v>
      </c>
      <c r="G69" t="s">
        <v>584</v>
      </c>
      <c r="H69" s="110">
        <v>5.2798396505879222</v>
      </c>
    </row>
    <row r="70" spans="3:25" x14ac:dyDescent="0.35">
      <c r="C70" s="78"/>
      <c r="F70" t="s">
        <v>195</v>
      </c>
      <c r="G70" t="s">
        <v>584</v>
      </c>
      <c r="H70" s="110">
        <v>3.7538826779776913</v>
      </c>
    </row>
    <row r="71" spans="3:25" x14ac:dyDescent="0.35">
      <c r="C71" s="78"/>
      <c r="F71" t="s">
        <v>196</v>
      </c>
      <c r="G71" t="s">
        <v>584</v>
      </c>
      <c r="H71" s="110">
        <v>0</v>
      </c>
    </row>
    <row r="72" spans="3:25" x14ac:dyDescent="0.35">
      <c r="C72" s="78"/>
      <c r="F72" t="s">
        <v>197</v>
      </c>
      <c r="G72" t="s">
        <v>584</v>
      </c>
      <c r="H72" s="110">
        <v>12.256269503423358</v>
      </c>
    </row>
    <row r="73" spans="3:25" x14ac:dyDescent="0.35">
      <c r="C73" s="78"/>
      <c r="F73" t="s">
        <v>198</v>
      </c>
      <c r="G73" t="s">
        <v>584</v>
      </c>
      <c r="H73" s="110">
        <v>4.780021042088916</v>
      </c>
    </row>
    <row r="74" spans="3:25" x14ac:dyDescent="0.35">
      <c r="C74" s="78"/>
      <c r="F74" t="s">
        <v>199</v>
      </c>
      <c r="G74" t="s">
        <v>584</v>
      </c>
      <c r="H74" s="110">
        <v>12.908037850260179</v>
      </c>
    </row>
    <row r="75" spans="3:25" x14ac:dyDescent="0.35">
      <c r="C75" s="78"/>
      <c r="F75" t="s">
        <v>375</v>
      </c>
      <c r="G75" t="s">
        <v>584</v>
      </c>
      <c r="H75" s="69"/>
    </row>
    <row r="76" spans="3:25" x14ac:dyDescent="0.35">
      <c r="C76" s="78"/>
      <c r="F76" s="28" t="s">
        <v>376</v>
      </c>
      <c r="G76" s="28" t="s">
        <v>584</v>
      </c>
      <c r="H76" s="71"/>
    </row>
    <row r="77" spans="3:25" x14ac:dyDescent="0.35">
      <c r="C77" s="78"/>
      <c r="F77" s="2"/>
    </row>
    <row r="78" spans="3:25" x14ac:dyDescent="0.35">
      <c r="E78" s="27" t="s">
        <v>407</v>
      </c>
      <c r="F78" s="2"/>
    </row>
    <row r="79" spans="3:25" x14ac:dyDescent="0.35">
      <c r="E79" s="24" t="s">
        <v>400</v>
      </c>
    </row>
    <row r="80" spans="3:25" x14ac:dyDescent="0.35">
      <c r="C80" s="78"/>
      <c r="F80" s="19" t="s">
        <v>189</v>
      </c>
      <c r="G80" s="54" t="s">
        <v>283</v>
      </c>
      <c r="H80" s="198"/>
      <c r="I80" s="198"/>
      <c r="J80" s="114">
        <f t="array" ref="J80:Y89">TRANSPOSE('Load &amp; loss characteristics'!J145:S160)</f>
        <v>1.0900000000000001</v>
      </c>
      <c r="K80" s="114">
        <v>1.0900000000000001</v>
      </c>
      <c r="L80" s="114">
        <v>1.0900000000000001</v>
      </c>
      <c r="M80" s="114">
        <v>1.0900000000000001</v>
      </c>
      <c r="N80" s="114">
        <v>1.0900000000000001</v>
      </c>
      <c r="O80" s="114">
        <v>1.0429999999999999</v>
      </c>
      <c r="P80" s="114">
        <v>1.0269999999999999</v>
      </c>
      <c r="Q80" s="114">
        <v>1.0900000000000001</v>
      </c>
      <c r="R80" s="114">
        <v>-1.0900000000000001</v>
      </c>
      <c r="S80" s="114">
        <v>-1.0429999999999999</v>
      </c>
      <c r="T80" s="114">
        <v>-1.0900000000000001</v>
      </c>
      <c r="U80" s="114">
        <v>-1.0900000000000001</v>
      </c>
      <c r="V80" s="114">
        <v>-1.0429999999999999</v>
      </c>
      <c r="W80" s="114">
        <v>-1.0429999999999999</v>
      </c>
      <c r="X80" s="114">
        <v>-1.0269999999999999</v>
      </c>
      <c r="Y80" s="114">
        <v>-1.0269999999999999</v>
      </c>
    </row>
    <row r="81" spans="3:42" x14ac:dyDescent="0.35">
      <c r="C81" s="78"/>
      <c r="F81" t="s">
        <v>191</v>
      </c>
      <c r="G81" s="23" t="s">
        <v>283</v>
      </c>
      <c r="H81" s="199"/>
      <c r="I81" s="199"/>
      <c r="J81" s="110">
        <v>1.0900000000000001</v>
      </c>
      <c r="K81" s="110">
        <v>1.0900000000000001</v>
      </c>
      <c r="L81" s="110">
        <v>1.0900000000000001</v>
      </c>
      <c r="M81" s="110">
        <v>1.0900000000000001</v>
      </c>
      <c r="N81" s="110">
        <v>1.0900000000000001</v>
      </c>
      <c r="O81" s="110">
        <v>1.0429999999999999</v>
      </c>
      <c r="P81" s="110">
        <v>1.0269999999999999</v>
      </c>
      <c r="Q81" s="110">
        <v>1.0900000000000001</v>
      </c>
      <c r="R81" s="110">
        <v>-1.0900000000000001</v>
      </c>
      <c r="S81" s="110">
        <v>-1.0429999999999999</v>
      </c>
      <c r="T81" s="110">
        <v>-1.0900000000000001</v>
      </c>
      <c r="U81" s="110">
        <v>-1.0900000000000001</v>
      </c>
      <c r="V81" s="110">
        <v>-1.0429999999999999</v>
      </c>
      <c r="W81" s="110">
        <v>-1.0429999999999999</v>
      </c>
      <c r="X81" s="110">
        <v>-1.0269999999999999</v>
      </c>
      <c r="Y81" s="110">
        <v>-1.0269999999999999</v>
      </c>
    </row>
    <row r="82" spans="3:42" x14ac:dyDescent="0.35">
      <c r="C82" s="78"/>
      <c r="F82" t="s">
        <v>192</v>
      </c>
      <c r="G82" s="23" t="s">
        <v>283</v>
      </c>
      <c r="H82" s="199"/>
      <c r="I82" s="199"/>
      <c r="J82" s="110">
        <v>1.0900000000000001</v>
      </c>
      <c r="K82" s="110">
        <v>1.0900000000000001</v>
      </c>
      <c r="L82" s="110">
        <v>1.0900000000000001</v>
      </c>
      <c r="M82" s="110">
        <v>1.0900000000000001</v>
      </c>
      <c r="N82" s="110">
        <v>1.0900000000000001</v>
      </c>
      <c r="O82" s="110">
        <v>1.0429999999999999</v>
      </c>
      <c r="P82" s="110">
        <v>1.0269999999999999</v>
      </c>
      <c r="Q82" s="110">
        <v>1.0900000000000001</v>
      </c>
      <c r="R82" s="110">
        <v>-1.0900000000000001</v>
      </c>
      <c r="S82" s="110">
        <v>-1.0429999999999999</v>
      </c>
      <c r="T82" s="110">
        <v>-1.0900000000000001</v>
      </c>
      <c r="U82" s="110">
        <v>-1.0900000000000001</v>
      </c>
      <c r="V82" s="110">
        <v>-1.0429999999999999</v>
      </c>
      <c r="W82" s="110">
        <v>-1.0429999999999999</v>
      </c>
      <c r="X82" s="110">
        <v>-1.0269999999999999</v>
      </c>
      <c r="Y82" s="110">
        <v>-1.0269999999999999</v>
      </c>
    </row>
    <row r="83" spans="3:42" x14ac:dyDescent="0.35">
      <c r="C83" s="78"/>
      <c r="F83" t="s">
        <v>193</v>
      </c>
      <c r="G83" s="23" t="s">
        <v>283</v>
      </c>
      <c r="H83" s="199"/>
      <c r="I83" s="199"/>
      <c r="J83" s="110">
        <v>1.0900000000000001</v>
      </c>
      <c r="K83" s="110">
        <v>1.0900000000000001</v>
      </c>
      <c r="L83" s="110">
        <v>1.0900000000000001</v>
      </c>
      <c r="M83" s="110">
        <v>1.0900000000000001</v>
      </c>
      <c r="N83" s="110">
        <v>1.0900000000000001</v>
      </c>
      <c r="O83" s="110">
        <v>1.0429999999999999</v>
      </c>
      <c r="P83" s="110">
        <v>1.0269999999999999</v>
      </c>
      <c r="Q83" s="110">
        <v>1.0900000000000001</v>
      </c>
      <c r="R83" s="110">
        <v>-1.0900000000000001</v>
      </c>
      <c r="S83" s="110">
        <v>-1.0429999999999999</v>
      </c>
      <c r="T83" s="110">
        <v>-1.0900000000000001</v>
      </c>
      <c r="U83" s="110">
        <v>-1.0900000000000001</v>
      </c>
      <c r="V83" s="110">
        <v>-1.0429999999999999</v>
      </c>
      <c r="W83" s="110">
        <v>-1.0429999999999999</v>
      </c>
      <c r="X83" s="110">
        <v>-1.0269999999999999</v>
      </c>
      <c r="Y83" s="110">
        <v>-1.0269999999999999</v>
      </c>
    </row>
    <row r="84" spans="3:42" x14ac:dyDescent="0.35">
      <c r="C84" s="78"/>
      <c r="F84" t="s">
        <v>194</v>
      </c>
      <c r="G84" s="23" t="s">
        <v>283</v>
      </c>
      <c r="H84" s="199"/>
      <c r="I84" s="199"/>
      <c r="J84" s="110">
        <v>1.0900000000000001</v>
      </c>
      <c r="K84" s="110">
        <v>1.0900000000000001</v>
      </c>
      <c r="L84" s="110">
        <v>1.0900000000000001</v>
      </c>
      <c r="M84" s="110">
        <v>1.0900000000000001</v>
      </c>
      <c r="N84" s="110">
        <v>1.0900000000000001</v>
      </c>
      <c r="O84" s="110">
        <v>1.0429999999999999</v>
      </c>
      <c r="P84" s="110">
        <v>1.0269999999999999</v>
      </c>
      <c r="Q84" s="110">
        <v>1.0900000000000001</v>
      </c>
      <c r="R84" s="110">
        <v>-1.0900000000000001</v>
      </c>
      <c r="S84" s="110">
        <v>-1.0429999999999999</v>
      </c>
      <c r="T84" s="110">
        <v>-1.0900000000000001</v>
      </c>
      <c r="U84" s="110">
        <v>-1.0900000000000001</v>
      </c>
      <c r="V84" s="110">
        <v>-1.0429999999999999</v>
      </c>
      <c r="W84" s="110">
        <v>-1.0429999999999999</v>
      </c>
      <c r="X84" s="110">
        <v>-1.0269999999999999</v>
      </c>
      <c r="Y84" s="110">
        <v>-1.0269999999999999</v>
      </c>
    </row>
    <row r="85" spans="3:42" x14ac:dyDescent="0.35">
      <c r="C85" s="78"/>
      <c r="F85" t="s">
        <v>195</v>
      </c>
      <c r="G85" s="23" t="s">
        <v>283</v>
      </c>
      <c r="H85" s="199"/>
      <c r="I85" s="199"/>
      <c r="J85" s="110">
        <v>1.0900000000000001</v>
      </c>
      <c r="K85" s="110">
        <v>1.0900000000000001</v>
      </c>
      <c r="L85" s="110">
        <v>1.0900000000000001</v>
      </c>
      <c r="M85" s="110">
        <v>1.0900000000000001</v>
      </c>
      <c r="N85" s="110">
        <v>1.0900000000000001</v>
      </c>
      <c r="O85" s="110">
        <v>1.0429999999999999</v>
      </c>
      <c r="P85" s="110">
        <v>1.0269999999999999</v>
      </c>
      <c r="Q85" s="110">
        <v>1.0900000000000001</v>
      </c>
      <c r="R85" s="110">
        <v>-1.0900000000000001</v>
      </c>
      <c r="S85" s="110">
        <v>-1.0429999999999999</v>
      </c>
      <c r="T85" s="110">
        <v>-1.0900000000000001</v>
      </c>
      <c r="U85" s="110">
        <v>-1.0900000000000001</v>
      </c>
      <c r="V85" s="110">
        <v>-1.0429999999999999</v>
      </c>
      <c r="W85" s="110">
        <v>-1.0429999999999999</v>
      </c>
      <c r="X85" s="110">
        <v>-1.0269999999999999</v>
      </c>
      <c r="Y85" s="110">
        <v>-1.0269999999999999</v>
      </c>
    </row>
    <row r="86" spans="3:42" x14ac:dyDescent="0.35">
      <c r="C86" s="78"/>
      <c r="F86" t="s">
        <v>196</v>
      </c>
      <c r="G86" s="23" t="s">
        <v>283</v>
      </c>
      <c r="H86" s="199"/>
      <c r="I86" s="199"/>
      <c r="J86" s="110">
        <v>0</v>
      </c>
      <c r="K86" s="110">
        <v>0</v>
      </c>
      <c r="L86" s="110">
        <v>0</v>
      </c>
      <c r="M86" s="110">
        <v>0</v>
      </c>
      <c r="N86" s="110">
        <v>0</v>
      </c>
      <c r="O86" s="110">
        <v>0</v>
      </c>
      <c r="P86" s="110">
        <v>0</v>
      </c>
      <c r="Q86" s="110">
        <v>0</v>
      </c>
      <c r="R86" s="110">
        <v>0</v>
      </c>
      <c r="S86" s="110">
        <v>0</v>
      </c>
      <c r="T86" s="110">
        <v>0</v>
      </c>
      <c r="U86" s="110">
        <v>0</v>
      </c>
      <c r="V86" s="110">
        <v>0</v>
      </c>
      <c r="W86" s="110">
        <v>0</v>
      </c>
      <c r="X86" s="110">
        <v>0</v>
      </c>
      <c r="Y86" s="110">
        <v>0</v>
      </c>
    </row>
    <row r="87" spans="3:42" x14ac:dyDescent="0.35">
      <c r="C87" s="78"/>
      <c r="F87" t="s">
        <v>197</v>
      </c>
      <c r="G87" s="23" t="s">
        <v>283</v>
      </c>
      <c r="H87" s="199"/>
      <c r="I87" s="199"/>
      <c r="J87" s="110">
        <v>1.0900000000000001</v>
      </c>
      <c r="K87" s="110">
        <v>1.0900000000000001</v>
      </c>
      <c r="L87" s="110">
        <v>1.0900000000000001</v>
      </c>
      <c r="M87" s="110">
        <v>1.0900000000000001</v>
      </c>
      <c r="N87" s="110">
        <v>1.0900000000000001</v>
      </c>
      <c r="O87" s="110">
        <v>1.0429999999999999</v>
      </c>
      <c r="P87" s="110">
        <v>1.0269999999999999</v>
      </c>
      <c r="Q87" s="110">
        <v>1.0900000000000001</v>
      </c>
      <c r="R87" s="110">
        <v>-1.0900000000000001</v>
      </c>
      <c r="S87" s="110">
        <v>-1.0429999999999999</v>
      </c>
      <c r="T87" s="110">
        <v>-1.0900000000000001</v>
      </c>
      <c r="U87" s="110">
        <v>-1.0900000000000001</v>
      </c>
      <c r="V87" s="110">
        <v>-1.0429999999999999</v>
      </c>
      <c r="W87" s="110">
        <v>-1.0429999999999999</v>
      </c>
      <c r="X87" s="110">
        <v>0</v>
      </c>
      <c r="Y87" s="110">
        <v>0</v>
      </c>
    </row>
    <row r="88" spans="3:42" x14ac:dyDescent="0.35">
      <c r="C88" s="78"/>
      <c r="F88" t="s">
        <v>198</v>
      </c>
      <c r="G88" s="23" t="s">
        <v>283</v>
      </c>
      <c r="H88" s="199"/>
      <c r="I88" s="199"/>
      <c r="J88" s="110">
        <v>1.0900000000000001</v>
      </c>
      <c r="K88" s="110">
        <v>1.0900000000000001</v>
      </c>
      <c r="L88" s="110">
        <v>1.0900000000000001</v>
      </c>
      <c r="M88" s="110">
        <v>1.0900000000000001</v>
      </c>
      <c r="N88" s="110">
        <v>1.0900000000000001</v>
      </c>
      <c r="O88" s="110">
        <v>1.0429999999999999</v>
      </c>
      <c r="P88" s="110">
        <v>0</v>
      </c>
      <c r="Q88" s="110">
        <v>1.0900000000000001</v>
      </c>
      <c r="R88" s="110">
        <v>-1.0900000000000001</v>
      </c>
      <c r="S88" s="110">
        <v>0</v>
      </c>
      <c r="T88" s="110">
        <v>-1.0900000000000001</v>
      </c>
      <c r="U88" s="110">
        <v>-1.0900000000000001</v>
      </c>
      <c r="V88" s="110">
        <v>0</v>
      </c>
      <c r="W88" s="110">
        <v>0</v>
      </c>
      <c r="X88" s="110">
        <v>0</v>
      </c>
      <c r="Y88" s="110">
        <v>0</v>
      </c>
    </row>
    <row r="89" spans="3:42" x14ac:dyDescent="0.35">
      <c r="C89" s="78"/>
      <c r="F89" t="s">
        <v>199</v>
      </c>
      <c r="G89" s="23" t="s">
        <v>283</v>
      </c>
      <c r="H89" s="199"/>
      <c r="I89" s="199"/>
      <c r="J89" s="110">
        <v>1.0900000000000001</v>
      </c>
      <c r="K89" s="110">
        <v>1.0900000000000001</v>
      </c>
      <c r="L89" s="110">
        <v>1.0900000000000001</v>
      </c>
      <c r="M89" s="110">
        <v>1.0900000000000001</v>
      </c>
      <c r="N89" s="110">
        <v>1.0900000000000001</v>
      </c>
      <c r="O89" s="110">
        <v>0</v>
      </c>
      <c r="P89" s="110">
        <v>0</v>
      </c>
      <c r="Q89" s="110">
        <v>1.0900000000000001</v>
      </c>
      <c r="R89" s="110">
        <v>0</v>
      </c>
      <c r="S89" s="110">
        <v>0</v>
      </c>
      <c r="T89" s="110">
        <v>0</v>
      </c>
      <c r="U89" s="110">
        <v>0</v>
      </c>
      <c r="V89" s="110">
        <v>0</v>
      </c>
      <c r="W89" s="110">
        <v>0</v>
      </c>
      <c r="X89" s="110">
        <v>0</v>
      </c>
      <c r="Y89" s="110">
        <v>0</v>
      </c>
    </row>
    <row r="90" spans="3:42" x14ac:dyDescent="0.35">
      <c r="C90" s="78"/>
      <c r="F90" t="s">
        <v>375</v>
      </c>
      <c r="G90" s="23" t="s">
        <v>283</v>
      </c>
      <c r="J90" s="69"/>
      <c r="K90" s="69"/>
      <c r="L90" s="69"/>
      <c r="M90" s="69"/>
      <c r="N90" s="69"/>
      <c r="O90" s="69"/>
      <c r="P90" s="69"/>
      <c r="Q90" s="69"/>
      <c r="R90" s="69"/>
      <c r="S90" s="69"/>
      <c r="T90" s="69"/>
      <c r="U90" s="69"/>
      <c r="V90" s="69"/>
      <c r="W90" s="69"/>
      <c r="X90" s="69"/>
      <c r="Y90" s="69"/>
    </row>
    <row r="91" spans="3:42" x14ac:dyDescent="0.35">
      <c r="C91" s="78"/>
      <c r="F91" s="28" t="s">
        <v>376</v>
      </c>
      <c r="G91" s="57" t="s">
        <v>283</v>
      </c>
      <c r="H91" s="28"/>
      <c r="I91" s="28"/>
      <c r="J91" s="71"/>
      <c r="K91" s="71"/>
      <c r="L91" s="71"/>
      <c r="M91" s="71"/>
      <c r="N91" s="71"/>
      <c r="O91" s="71"/>
      <c r="P91" s="71"/>
      <c r="Q91" s="71"/>
      <c r="R91" s="71"/>
      <c r="S91" s="71"/>
      <c r="T91" s="71"/>
      <c r="U91" s="71"/>
      <c r="V91" s="71"/>
      <c r="W91" s="71"/>
      <c r="X91" s="71"/>
      <c r="Y91" s="71"/>
    </row>
    <row r="92" spans="3:42" x14ac:dyDescent="0.35">
      <c r="C92" s="78"/>
      <c r="F92" s="2"/>
    </row>
    <row r="93" spans="3:42" x14ac:dyDescent="0.35">
      <c r="D93"/>
      <c r="E93" s="27" t="s">
        <v>120</v>
      </c>
      <c r="H93" s="13"/>
      <c r="J93" s="53"/>
      <c r="L93" s="53"/>
      <c r="AP93" s="3"/>
    </row>
    <row r="94" spans="3:42" x14ac:dyDescent="0.35">
      <c r="C94" s="27"/>
      <c r="D94"/>
      <c r="E94"/>
      <c r="F94" s="19" t="s">
        <v>191</v>
      </c>
      <c r="G94" s="19" t="s">
        <v>167</v>
      </c>
      <c r="H94" s="119"/>
      <c r="I94" s="19"/>
      <c r="J94" s="97">
        <f>'Standing charge factors'!J44</f>
        <v>0</v>
      </c>
      <c r="K94" s="97">
        <f>'Standing charge factors'!K44</f>
        <v>0</v>
      </c>
      <c r="L94" s="97">
        <f>'Standing charge factors'!L44</f>
        <v>0</v>
      </c>
      <c r="M94" s="97">
        <f>'Standing charge factors'!M44</f>
        <v>0</v>
      </c>
      <c r="N94" s="97">
        <f>'Standing charge factors'!N44</f>
        <v>0</v>
      </c>
      <c r="O94" s="97">
        <f>'Standing charge factors'!O44</f>
        <v>0</v>
      </c>
      <c r="P94" s="97">
        <f>'Standing charge factors'!P44</f>
        <v>0</v>
      </c>
      <c r="Q94" s="97">
        <f>'Standing charge factors'!Q44</f>
        <v>0</v>
      </c>
      <c r="R94" s="97">
        <f>'Standing charge factors'!R44</f>
        <v>0</v>
      </c>
      <c r="S94" s="97">
        <f>'Standing charge factors'!S44</f>
        <v>0</v>
      </c>
      <c r="T94" s="97">
        <f>'Standing charge factors'!T44</f>
        <v>0</v>
      </c>
      <c r="U94" s="97">
        <f>'Standing charge factors'!U44</f>
        <v>0</v>
      </c>
      <c r="V94" s="97">
        <f>'Standing charge factors'!V44</f>
        <v>0</v>
      </c>
      <c r="W94" s="97">
        <f>'Standing charge factors'!W44</f>
        <v>0</v>
      </c>
      <c r="X94" s="97">
        <f>'Standing charge factors'!X44</f>
        <v>0</v>
      </c>
      <c r="Y94" s="97">
        <f>'Standing charge factors'!Y44</f>
        <v>0</v>
      </c>
      <c r="AP94" s="3"/>
    </row>
    <row r="95" spans="3:42" x14ac:dyDescent="0.35">
      <c r="C95" s="27"/>
      <c r="D95"/>
      <c r="E95"/>
      <c r="F95" t="s">
        <v>192</v>
      </c>
      <c r="G95" t="s">
        <v>167</v>
      </c>
      <c r="H95" s="53"/>
      <c r="J95" s="21">
        <f>'Standing charge factors'!J45</f>
        <v>0</v>
      </c>
      <c r="K95" s="21">
        <f>'Standing charge factors'!K45</f>
        <v>0</v>
      </c>
      <c r="L95" s="21">
        <f>'Standing charge factors'!L45</f>
        <v>0</v>
      </c>
      <c r="M95" s="21">
        <f>'Standing charge factors'!M45</f>
        <v>0</v>
      </c>
      <c r="N95" s="21">
        <f>'Standing charge factors'!N45</f>
        <v>0</v>
      </c>
      <c r="O95" s="21">
        <f>'Standing charge factors'!O45</f>
        <v>0</v>
      </c>
      <c r="P95" s="21">
        <f>'Standing charge factors'!P45</f>
        <v>0</v>
      </c>
      <c r="Q95" s="21">
        <f>'Standing charge factors'!Q45</f>
        <v>0</v>
      </c>
      <c r="R95" s="21">
        <f>'Standing charge factors'!R45</f>
        <v>0</v>
      </c>
      <c r="S95" s="21">
        <f>'Standing charge factors'!S45</f>
        <v>0</v>
      </c>
      <c r="T95" s="21">
        <f>'Standing charge factors'!T45</f>
        <v>0</v>
      </c>
      <c r="U95" s="21">
        <f>'Standing charge factors'!U45</f>
        <v>0</v>
      </c>
      <c r="V95" s="21">
        <f>'Standing charge factors'!V45</f>
        <v>0</v>
      </c>
      <c r="W95" s="21">
        <f>'Standing charge factors'!W45</f>
        <v>0</v>
      </c>
      <c r="X95" s="21">
        <f>'Standing charge factors'!X45</f>
        <v>0</v>
      </c>
      <c r="Y95" s="21">
        <f>'Standing charge factors'!Y45</f>
        <v>0</v>
      </c>
      <c r="AP95" s="3"/>
    </row>
    <row r="96" spans="3:42" x14ac:dyDescent="0.35">
      <c r="C96" s="27"/>
      <c r="D96"/>
      <c r="E96"/>
      <c r="F96" t="s">
        <v>193</v>
      </c>
      <c r="G96" t="s">
        <v>167</v>
      </c>
      <c r="H96" s="53"/>
      <c r="J96" s="21">
        <f>'Standing charge factors'!J46</f>
        <v>0</v>
      </c>
      <c r="K96" s="21">
        <f>'Standing charge factors'!K46</f>
        <v>0</v>
      </c>
      <c r="L96" s="21">
        <f>'Standing charge factors'!L46</f>
        <v>0</v>
      </c>
      <c r="M96" s="21">
        <f>'Standing charge factors'!M46</f>
        <v>0</v>
      </c>
      <c r="N96" s="21">
        <f>'Standing charge factors'!N46</f>
        <v>0</v>
      </c>
      <c r="O96" s="21">
        <f>'Standing charge factors'!O46</f>
        <v>0</v>
      </c>
      <c r="P96" s="21">
        <f>'Standing charge factors'!P46</f>
        <v>0</v>
      </c>
      <c r="Q96" s="21">
        <f>'Standing charge factors'!Q46</f>
        <v>0</v>
      </c>
      <c r="R96" s="21">
        <f>'Standing charge factors'!R46</f>
        <v>0</v>
      </c>
      <c r="S96" s="21">
        <f>'Standing charge factors'!S46</f>
        <v>0</v>
      </c>
      <c r="T96" s="21">
        <f>'Standing charge factors'!T46</f>
        <v>0</v>
      </c>
      <c r="U96" s="21">
        <f>'Standing charge factors'!U46</f>
        <v>0</v>
      </c>
      <c r="V96" s="21">
        <f>'Standing charge factors'!V46</f>
        <v>0</v>
      </c>
      <c r="W96" s="21">
        <f>'Standing charge factors'!W46</f>
        <v>0</v>
      </c>
      <c r="X96" s="21">
        <f>'Standing charge factors'!X46</f>
        <v>0</v>
      </c>
      <c r="Y96" s="21">
        <f>'Standing charge factors'!Y46</f>
        <v>0</v>
      </c>
      <c r="AP96" s="3"/>
    </row>
    <row r="97" spans="3:42" x14ac:dyDescent="0.35">
      <c r="C97" s="27"/>
      <c r="D97"/>
      <c r="E97"/>
      <c r="F97" t="s">
        <v>194</v>
      </c>
      <c r="G97" t="s">
        <v>167</v>
      </c>
      <c r="H97" s="53"/>
      <c r="J97" s="21">
        <f>'Standing charge factors'!J47</f>
        <v>0</v>
      </c>
      <c r="K97" s="21">
        <f>'Standing charge factors'!K47</f>
        <v>0</v>
      </c>
      <c r="L97" s="21">
        <f>'Standing charge factors'!L47</f>
        <v>0</v>
      </c>
      <c r="M97" s="21">
        <f>'Standing charge factors'!M47</f>
        <v>0</v>
      </c>
      <c r="N97" s="21">
        <f>'Standing charge factors'!N47</f>
        <v>0</v>
      </c>
      <c r="O97" s="21">
        <f>'Standing charge factors'!O47</f>
        <v>0</v>
      </c>
      <c r="P97" s="21">
        <f>'Standing charge factors'!P47</f>
        <v>0.2</v>
      </c>
      <c r="Q97" s="21">
        <f>'Standing charge factors'!Q47</f>
        <v>0</v>
      </c>
      <c r="R97" s="21">
        <f>'Standing charge factors'!R47</f>
        <v>0</v>
      </c>
      <c r="S97" s="21">
        <f>'Standing charge factors'!S47</f>
        <v>0</v>
      </c>
      <c r="T97" s="21">
        <f>'Standing charge factors'!T47</f>
        <v>0</v>
      </c>
      <c r="U97" s="21">
        <f>'Standing charge factors'!U47</f>
        <v>0</v>
      </c>
      <c r="V97" s="21">
        <f>'Standing charge factors'!V47</f>
        <v>0</v>
      </c>
      <c r="W97" s="21">
        <f>'Standing charge factors'!W47</f>
        <v>0</v>
      </c>
      <c r="X97" s="21">
        <f>'Standing charge factors'!X47</f>
        <v>0</v>
      </c>
      <c r="Y97" s="21">
        <f>'Standing charge factors'!Y47</f>
        <v>0</v>
      </c>
      <c r="AP97" s="3"/>
    </row>
    <row r="98" spans="3:42" x14ac:dyDescent="0.35">
      <c r="C98" s="27"/>
      <c r="D98"/>
      <c r="E98"/>
      <c r="F98" t="s">
        <v>195</v>
      </c>
      <c r="G98" t="s">
        <v>167</v>
      </c>
      <c r="H98" s="53"/>
      <c r="J98" s="21">
        <f>'Standing charge factors'!J48</f>
        <v>0</v>
      </c>
      <c r="K98" s="21">
        <f>'Standing charge factors'!K48</f>
        <v>0</v>
      </c>
      <c r="L98" s="21">
        <f>'Standing charge factors'!L48</f>
        <v>0</v>
      </c>
      <c r="M98" s="21">
        <f>'Standing charge factors'!M48</f>
        <v>0</v>
      </c>
      <c r="N98" s="21">
        <f>'Standing charge factors'!N48</f>
        <v>0</v>
      </c>
      <c r="O98" s="21">
        <f>'Standing charge factors'!O48</f>
        <v>0</v>
      </c>
      <c r="P98" s="21">
        <f>'Standing charge factors'!P48</f>
        <v>1</v>
      </c>
      <c r="Q98" s="21">
        <f>'Standing charge factors'!Q48</f>
        <v>0</v>
      </c>
      <c r="R98" s="21">
        <f>'Standing charge factors'!R48</f>
        <v>0</v>
      </c>
      <c r="S98" s="21">
        <f>'Standing charge factors'!S48</f>
        <v>0</v>
      </c>
      <c r="T98" s="21">
        <f>'Standing charge factors'!T48</f>
        <v>0</v>
      </c>
      <c r="U98" s="21">
        <f>'Standing charge factors'!U48</f>
        <v>0</v>
      </c>
      <c r="V98" s="21">
        <f>'Standing charge factors'!V48</f>
        <v>0</v>
      </c>
      <c r="W98" s="21">
        <f>'Standing charge factors'!W48</f>
        <v>0</v>
      </c>
      <c r="X98" s="21">
        <f>'Standing charge factors'!X48</f>
        <v>0</v>
      </c>
      <c r="Y98" s="21">
        <f>'Standing charge factors'!Y48</f>
        <v>0</v>
      </c>
      <c r="AP98" s="3"/>
    </row>
    <row r="99" spans="3:42" x14ac:dyDescent="0.35">
      <c r="C99" s="27"/>
      <c r="D99"/>
      <c r="E99"/>
      <c r="F99" t="s">
        <v>196</v>
      </c>
      <c r="G99" t="s">
        <v>167</v>
      </c>
      <c r="H99" s="53"/>
      <c r="J99" s="21">
        <f>'Standing charge factors'!J49</f>
        <v>0</v>
      </c>
      <c r="K99" s="21">
        <f>'Standing charge factors'!K49</f>
        <v>0</v>
      </c>
      <c r="L99" s="21">
        <f>'Standing charge factors'!L49</f>
        <v>0</v>
      </c>
      <c r="M99" s="21">
        <f>'Standing charge factors'!M49</f>
        <v>0</v>
      </c>
      <c r="N99" s="21">
        <f>'Standing charge factors'!N49</f>
        <v>0</v>
      </c>
      <c r="O99" s="21">
        <f>'Standing charge factors'!O49</f>
        <v>0</v>
      </c>
      <c r="P99" s="21">
        <f>'Standing charge factors'!P49</f>
        <v>1</v>
      </c>
      <c r="Q99" s="21">
        <f>'Standing charge factors'!Q49</f>
        <v>0</v>
      </c>
      <c r="R99" s="21">
        <f>'Standing charge factors'!R49</f>
        <v>0</v>
      </c>
      <c r="S99" s="21">
        <f>'Standing charge factors'!S49</f>
        <v>0</v>
      </c>
      <c r="T99" s="21">
        <f>'Standing charge factors'!T49</f>
        <v>0</v>
      </c>
      <c r="U99" s="21">
        <f>'Standing charge factors'!U49</f>
        <v>0</v>
      </c>
      <c r="V99" s="21">
        <f>'Standing charge factors'!V49</f>
        <v>0</v>
      </c>
      <c r="W99" s="21">
        <f>'Standing charge factors'!W49</f>
        <v>0</v>
      </c>
      <c r="X99" s="21">
        <f>'Standing charge factors'!X49</f>
        <v>0</v>
      </c>
      <c r="Y99" s="21">
        <f>'Standing charge factors'!Y49</f>
        <v>0</v>
      </c>
      <c r="AP99" s="3"/>
    </row>
    <row r="100" spans="3:42" x14ac:dyDescent="0.35">
      <c r="C100" s="27"/>
      <c r="D100"/>
      <c r="E100"/>
      <c r="F100" t="s">
        <v>197</v>
      </c>
      <c r="G100" t="s">
        <v>167</v>
      </c>
      <c r="H100" s="53"/>
      <c r="J100" s="21">
        <f>'Standing charge factors'!J50</f>
        <v>0</v>
      </c>
      <c r="K100" s="21">
        <f>'Standing charge factors'!K50</f>
        <v>0</v>
      </c>
      <c r="L100" s="21">
        <f>'Standing charge factors'!L50</f>
        <v>0</v>
      </c>
      <c r="M100" s="21">
        <f>'Standing charge factors'!M50</f>
        <v>0</v>
      </c>
      <c r="N100" s="21">
        <f>'Standing charge factors'!N50</f>
        <v>0.2</v>
      </c>
      <c r="O100" s="21">
        <f>'Standing charge factors'!O50</f>
        <v>1</v>
      </c>
      <c r="P100" s="21">
        <f>'Standing charge factors'!P50</f>
        <v>1</v>
      </c>
      <c r="Q100" s="21">
        <f>'Standing charge factors'!Q50</f>
        <v>0</v>
      </c>
      <c r="R100" s="21">
        <f>'Standing charge factors'!R50</f>
        <v>0</v>
      </c>
      <c r="S100" s="21">
        <f>'Standing charge factors'!S50</f>
        <v>0</v>
      </c>
      <c r="T100" s="21">
        <f>'Standing charge factors'!T50</f>
        <v>0</v>
      </c>
      <c r="U100" s="21">
        <f>'Standing charge factors'!U50</f>
        <v>0</v>
      </c>
      <c r="V100" s="21">
        <f>'Standing charge factors'!V50</f>
        <v>0</v>
      </c>
      <c r="W100" s="21">
        <f>'Standing charge factors'!W50</f>
        <v>0</v>
      </c>
      <c r="X100" s="21">
        <f>'Standing charge factors'!X50</f>
        <v>0</v>
      </c>
      <c r="Y100" s="21">
        <f>'Standing charge factors'!Y50</f>
        <v>0</v>
      </c>
      <c r="AP100" s="3"/>
    </row>
    <row r="101" spans="3:42" x14ac:dyDescent="0.35">
      <c r="C101" s="27"/>
      <c r="D101"/>
      <c r="E101"/>
      <c r="F101" t="s">
        <v>198</v>
      </c>
      <c r="G101" t="s">
        <v>167</v>
      </c>
      <c r="H101" s="53"/>
      <c r="J101" s="21">
        <f>'Standing charge factors'!J51</f>
        <v>0</v>
      </c>
      <c r="K101" s="21">
        <f>'Standing charge factors'!K51</f>
        <v>0</v>
      </c>
      <c r="L101" s="21">
        <f>'Standing charge factors'!L51</f>
        <v>0</v>
      </c>
      <c r="M101" s="21">
        <f>'Standing charge factors'!M51</f>
        <v>0</v>
      </c>
      <c r="N101" s="21">
        <f>'Standing charge factors'!N51</f>
        <v>1</v>
      </c>
      <c r="O101" s="21">
        <f>'Standing charge factors'!O51</f>
        <v>1</v>
      </c>
      <c r="P101" s="21">
        <f>'Standing charge factors'!P51</f>
        <v>0</v>
      </c>
      <c r="Q101" s="21">
        <f>'Standing charge factors'!Q51</f>
        <v>0</v>
      </c>
      <c r="R101" s="21">
        <f>'Standing charge factors'!R51</f>
        <v>0</v>
      </c>
      <c r="S101" s="21">
        <f>'Standing charge factors'!S51</f>
        <v>0</v>
      </c>
      <c r="T101" s="21">
        <f>'Standing charge factors'!T51</f>
        <v>0</v>
      </c>
      <c r="U101" s="21">
        <f>'Standing charge factors'!U51</f>
        <v>0</v>
      </c>
      <c r="V101" s="21">
        <f>'Standing charge factors'!V51</f>
        <v>0</v>
      </c>
      <c r="W101" s="21">
        <f>'Standing charge factors'!W51</f>
        <v>0</v>
      </c>
      <c r="X101" s="21">
        <f>'Standing charge factors'!X51</f>
        <v>0</v>
      </c>
      <c r="Y101" s="21">
        <f>'Standing charge factors'!Y51</f>
        <v>0</v>
      </c>
      <c r="AP101" s="3"/>
    </row>
    <row r="102" spans="3:42" x14ac:dyDescent="0.35">
      <c r="C102" s="27"/>
      <c r="D102"/>
      <c r="E102"/>
      <c r="F102" s="28" t="s">
        <v>199</v>
      </c>
      <c r="G102" s="28" t="s">
        <v>167</v>
      </c>
      <c r="H102" s="120"/>
      <c r="I102" s="28"/>
      <c r="J102" s="131">
        <f>'Standing charge factors'!J52</f>
        <v>1</v>
      </c>
      <c r="K102" s="131">
        <f>'Standing charge factors'!K52</f>
        <v>1</v>
      </c>
      <c r="L102" s="131">
        <f>'Standing charge factors'!L52</f>
        <v>1</v>
      </c>
      <c r="M102" s="131">
        <f>'Standing charge factors'!M52</f>
        <v>1</v>
      </c>
      <c r="N102" s="131">
        <f>'Standing charge factors'!N52</f>
        <v>1</v>
      </c>
      <c r="O102" s="131">
        <f>'Standing charge factors'!O52</f>
        <v>0</v>
      </c>
      <c r="P102" s="131">
        <f>'Standing charge factors'!P52</f>
        <v>0</v>
      </c>
      <c r="Q102" s="131">
        <f>'Standing charge factors'!Q52</f>
        <v>0</v>
      </c>
      <c r="R102" s="131">
        <f>'Standing charge factors'!R52</f>
        <v>0</v>
      </c>
      <c r="S102" s="131">
        <f>'Standing charge factors'!S52</f>
        <v>0</v>
      </c>
      <c r="T102" s="131">
        <f>'Standing charge factors'!T52</f>
        <v>0</v>
      </c>
      <c r="U102" s="131">
        <f>'Standing charge factors'!U52</f>
        <v>0</v>
      </c>
      <c r="V102" s="131">
        <f>'Standing charge factors'!V52</f>
        <v>0</v>
      </c>
      <c r="W102" s="131">
        <f>'Standing charge factors'!W52</f>
        <v>0</v>
      </c>
      <c r="X102" s="131">
        <f>'Standing charge factors'!X52</f>
        <v>0</v>
      </c>
      <c r="Y102" s="131">
        <f>'Standing charge factors'!Y52</f>
        <v>0</v>
      </c>
      <c r="AP102" s="3"/>
    </row>
    <row r="103" spans="3:42" x14ac:dyDescent="0.35">
      <c r="C103" s="78"/>
      <c r="D103"/>
      <c r="F103" s="2"/>
    </row>
    <row r="104" spans="3:42" x14ac:dyDescent="0.35">
      <c r="E104" s="27" t="s">
        <v>694</v>
      </c>
    </row>
    <row r="105" spans="3:42" x14ac:dyDescent="0.35">
      <c r="C105" s="78"/>
      <c r="F105" s="19" t="s">
        <v>189</v>
      </c>
      <c r="G105" s="19" t="s">
        <v>167</v>
      </c>
      <c r="H105" s="198"/>
      <c r="I105" s="198"/>
      <c r="J105" s="55"/>
      <c r="K105" s="55"/>
      <c r="L105" s="55"/>
      <c r="M105" s="55"/>
      <c r="N105" s="55"/>
      <c r="O105" s="55"/>
      <c r="P105" s="55"/>
      <c r="Q105" s="55"/>
      <c r="R105" s="55"/>
      <c r="S105" s="55"/>
      <c r="T105" s="55"/>
      <c r="U105" s="55"/>
      <c r="V105" s="55"/>
      <c r="W105" s="55"/>
      <c r="X105" s="55"/>
      <c r="Y105" s="55"/>
    </row>
    <row r="106" spans="3:42" x14ac:dyDescent="0.35">
      <c r="C106" s="78"/>
      <c r="F106" t="s">
        <v>191</v>
      </c>
      <c r="G106" t="s">
        <v>167</v>
      </c>
      <c r="H106" s="199"/>
      <c r="I106" s="199"/>
      <c r="J106" s="56"/>
      <c r="K106" s="56"/>
      <c r="L106" s="56"/>
      <c r="M106" s="56"/>
      <c r="N106" s="56"/>
      <c r="O106" s="56"/>
      <c r="P106" s="56"/>
      <c r="Q106" s="56"/>
      <c r="R106" s="56"/>
      <c r="S106" s="56"/>
      <c r="T106" s="56"/>
      <c r="U106" s="56"/>
      <c r="V106" s="56"/>
      <c r="W106" s="56"/>
      <c r="X106" s="56"/>
      <c r="Y106" s="56"/>
    </row>
    <row r="107" spans="3:42" x14ac:dyDescent="0.35">
      <c r="C107" s="78"/>
      <c r="F107" t="s">
        <v>192</v>
      </c>
      <c r="G107" t="s">
        <v>167</v>
      </c>
      <c r="H107" s="199"/>
      <c r="I107" s="199"/>
      <c r="J107" s="21">
        <f t="array" ref="J107:Y114">TRANSPOSE('Customer contributions'!L51:S66)</f>
        <v>0</v>
      </c>
      <c r="K107" s="21">
        <v>0</v>
      </c>
      <c r="L107" s="21">
        <v>0</v>
      </c>
      <c r="M107" s="21">
        <v>0</v>
      </c>
      <c r="N107" s="21">
        <v>0</v>
      </c>
      <c r="O107" s="21">
        <v>0</v>
      </c>
      <c r="P107" s="21">
        <v>0</v>
      </c>
      <c r="Q107" s="21">
        <v>0</v>
      </c>
      <c r="R107" s="21">
        <v>0</v>
      </c>
      <c r="S107" s="21">
        <v>0</v>
      </c>
      <c r="T107" s="21">
        <v>0</v>
      </c>
      <c r="U107" s="21">
        <v>0</v>
      </c>
      <c r="V107" s="21">
        <v>0</v>
      </c>
      <c r="W107" s="21">
        <v>0</v>
      </c>
      <c r="X107" s="21">
        <v>0</v>
      </c>
      <c r="Y107" s="21">
        <v>0</v>
      </c>
    </row>
    <row r="108" spans="3:42" x14ac:dyDescent="0.35">
      <c r="C108" s="78"/>
      <c r="F108" t="s">
        <v>193</v>
      </c>
      <c r="G108" t="s">
        <v>167</v>
      </c>
      <c r="H108" s="199"/>
      <c r="I108" s="199"/>
      <c r="J108" s="21">
        <v>0</v>
      </c>
      <c r="K108" s="21">
        <v>0</v>
      </c>
      <c r="L108" s="21">
        <v>0</v>
      </c>
      <c r="M108" s="21">
        <v>0</v>
      </c>
      <c r="N108" s="21">
        <v>0</v>
      </c>
      <c r="O108" s="21">
        <v>0</v>
      </c>
      <c r="P108" s="21">
        <v>0</v>
      </c>
      <c r="Q108" s="21">
        <v>0</v>
      </c>
      <c r="R108" s="21">
        <v>0</v>
      </c>
      <c r="S108" s="21">
        <v>0</v>
      </c>
      <c r="T108" s="21">
        <v>0</v>
      </c>
      <c r="U108" s="21">
        <v>0</v>
      </c>
      <c r="V108" s="21">
        <v>0</v>
      </c>
      <c r="W108" s="21">
        <v>0</v>
      </c>
      <c r="X108" s="21">
        <v>0</v>
      </c>
      <c r="Y108" s="21">
        <v>0</v>
      </c>
    </row>
    <row r="109" spans="3:42" x14ac:dyDescent="0.35">
      <c r="C109" s="78"/>
      <c r="F109" t="s">
        <v>194</v>
      </c>
      <c r="G109" t="s">
        <v>167</v>
      </c>
      <c r="H109" s="199"/>
      <c r="I109" s="199"/>
      <c r="J109" s="21">
        <v>1.2370413198693E-2</v>
      </c>
      <c r="K109" s="21">
        <v>1.2370413198693E-2</v>
      </c>
      <c r="L109" s="21">
        <v>1.2370413198693E-2</v>
      </c>
      <c r="M109" s="21">
        <v>1.2370413198693E-2</v>
      </c>
      <c r="N109" s="21">
        <v>1.2370413198693E-2</v>
      </c>
      <c r="O109" s="21">
        <v>1.2370413198693E-2</v>
      </c>
      <c r="P109" s="21">
        <v>3.4530744799792602E-2</v>
      </c>
      <c r="Q109" s="21">
        <v>1.2370413198693E-2</v>
      </c>
      <c r="R109" s="21">
        <v>1.2370413198693E-2</v>
      </c>
      <c r="S109" s="21">
        <v>1.2370413198693E-2</v>
      </c>
      <c r="T109" s="21">
        <v>1.2370413198693E-2</v>
      </c>
      <c r="U109" s="21">
        <v>1.2370413198693E-2</v>
      </c>
      <c r="V109" s="21">
        <v>1.2370413198693E-2</v>
      </c>
      <c r="W109" s="21">
        <v>1.2370413198693E-2</v>
      </c>
      <c r="X109" s="21">
        <v>3.4530744799792602E-2</v>
      </c>
      <c r="Y109" s="21">
        <v>3.4530744799792602E-2</v>
      </c>
    </row>
    <row r="110" spans="3:42" x14ac:dyDescent="0.35">
      <c r="C110" s="78"/>
      <c r="F110" t="s">
        <v>195</v>
      </c>
      <c r="G110" t="s">
        <v>167</v>
      </c>
      <c r="H110" s="199"/>
      <c r="I110" s="199"/>
      <c r="J110" s="21">
        <v>2.4400925983857801E-2</v>
      </c>
      <c r="K110" s="21">
        <v>2.4400925983857801E-2</v>
      </c>
      <c r="L110" s="21">
        <v>2.4400925983857801E-2</v>
      </c>
      <c r="M110" s="21">
        <v>2.4400925983857801E-2</v>
      </c>
      <c r="N110" s="21">
        <v>2.4400925983857801E-2</v>
      </c>
      <c r="O110" s="21">
        <v>2.4400925983857801E-2</v>
      </c>
      <c r="P110" s="21">
        <v>6.6381013698021907E-2</v>
      </c>
      <c r="Q110" s="21">
        <v>2.4400925983857801E-2</v>
      </c>
      <c r="R110" s="21">
        <v>2.4400925983857801E-2</v>
      </c>
      <c r="S110" s="21">
        <v>2.4400925983857801E-2</v>
      </c>
      <c r="T110" s="21">
        <v>2.4400925983857801E-2</v>
      </c>
      <c r="U110" s="21">
        <v>2.4400925983857801E-2</v>
      </c>
      <c r="V110" s="21">
        <v>2.4400925983857801E-2</v>
      </c>
      <c r="W110" s="21">
        <v>2.4400925983857801E-2</v>
      </c>
      <c r="X110" s="21">
        <v>6.6381013698021907E-2</v>
      </c>
      <c r="Y110" s="21">
        <v>6.6381013698021907E-2</v>
      </c>
    </row>
    <row r="111" spans="3:42" x14ac:dyDescent="0.35">
      <c r="C111" s="78"/>
      <c r="F111" t="s">
        <v>196</v>
      </c>
      <c r="G111" t="s">
        <v>167</v>
      </c>
      <c r="H111" s="199"/>
      <c r="I111" s="199"/>
      <c r="J111" s="21">
        <v>0</v>
      </c>
      <c r="K111" s="21">
        <v>0</v>
      </c>
      <c r="L111" s="21">
        <v>0</v>
      </c>
      <c r="M111" s="21">
        <v>0</v>
      </c>
      <c r="N111" s="21">
        <v>0</v>
      </c>
      <c r="O111" s="21">
        <v>0</v>
      </c>
      <c r="P111" s="21">
        <v>0</v>
      </c>
      <c r="Q111" s="21">
        <v>0</v>
      </c>
      <c r="R111" s="21">
        <v>0</v>
      </c>
      <c r="S111" s="21">
        <v>0</v>
      </c>
      <c r="T111" s="21">
        <v>0</v>
      </c>
      <c r="U111" s="21">
        <v>0</v>
      </c>
      <c r="V111" s="21">
        <v>0</v>
      </c>
      <c r="W111" s="21">
        <v>0</v>
      </c>
      <c r="X111" s="21">
        <v>0</v>
      </c>
      <c r="Y111" s="21">
        <v>0</v>
      </c>
    </row>
    <row r="112" spans="3:42" x14ac:dyDescent="0.35">
      <c r="C112" s="78"/>
      <c r="F112" t="s">
        <v>197</v>
      </c>
      <c r="G112" t="s">
        <v>167</v>
      </c>
      <c r="H112" s="199"/>
      <c r="I112" s="199"/>
      <c r="J112" s="21">
        <v>0.34379931777325301</v>
      </c>
      <c r="K112" s="21">
        <v>0.34379931777325301</v>
      </c>
      <c r="L112" s="21">
        <v>0.34379931777325301</v>
      </c>
      <c r="M112" s="21">
        <v>0.34379931777325301</v>
      </c>
      <c r="N112" s="21">
        <v>0.34379931777325301</v>
      </c>
      <c r="O112" s="21">
        <v>0.34379931777325301</v>
      </c>
      <c r="P112" s="21">
        <v>0.38323267678152101</v>
      </c>
      <c r="Q112" s="21">
        <v>0.34379931777325301</v>
      </c>
      <c r="R112" s="21">
        <v>0.34379931777325301</v>
      </c>
      <c r="S112" s="21">
        <v>0.34379931777325301</v>
      </c>
      <c r="T112" s="21">
        <v>0.34379931777325301</v>
      </c>
      <c r="U112" s="21">
        <v>0.34379931777325301</v>
      </c>
      <c r="V112" s="21">
        <v>0.34379931777325301</v>
      </c>
      <c r="W112" s="21">
        <v>0.34379931777325301</v>
      </c>
      <c r="X112" s="21">
        <v>0.38323267678152101</v>
      </c>
      <c r="Y112" s="21">
        <v>0.38323267678152101</v>
      </c>
    </row>
    <row r="113" spans="2:27" x14ac:dyDescent="0.35">
      <c r="C113" s="78"/>
      <c r="F113" t="s">
        <v>198</v>
      </c>
      <c r="G113" t="s">
        <v>167</v>
      </c>
      <c r="H113" s="199"/>
      <c r="I113" s="199"/>
      <c r="J113" s="21">
        <v>0.42351973684210498</v>
      </c>
      <c r="K113" s="21">
        <v>0.42351973684210498</v>
      </c>
      <c r="L113" s="21">
        <v>0.42351973684210498</v>
      </c>
      <c r="M113" s="21">
        <v>0.42351973684210498</v>
      </c>
      <c r="N113" s="21">
        <v>0.42351973684210498</v>
      </c>
      <c r="O113" s="21">
        <v>0.42351973684210498</v>
      </c>
      <c r="P113" s="21">
        <v>0</v>
      </c>
      <c r="Q113" s="21">
        <v>0.42351973684210498</v>
      </c>
      <c r="R113" s="21">
        <v>0.42351973684210498</v>
      </c>
      <c r="S113" s="21">
        <v>0.42351973684210498</v>
      </c>
      <c r="T113" s="21">
        <v>0.42351973684210498</v>
      </c>
      <c r="U113" s="21">
        <v>0.42351973684210498</v>
      </c>
      <c r="V113" s="21">
        <v>0.42351973684210498</v>
      </c>
      <c r="W113" s="21">
        <v>0.42351973684210498</v>
      </c>
      <c r="X113" s="21">
        <v>0</v>
      </c>
      <c r="Y113" s="21">
        <v>0</v>
      </c>
    </row>
    <row r="114" spans="2:27" x14ac:dyDescent="0.35">
      <c r="C114" s="78"/>
      <c r="F114" t="s">
        <v>199</v>
      </c>
      <c r="G114" t="s">
        <v>167</v>
      </c>
      <c r="H114" s="199"/>
      <c r="I114" s="199"/>
      <c r="J114" s="21">
        <v>0.95595667870036105</v>
      </c>
      <c r="K114" s="21">
        <v>0.95595667870036105</v>
      </c>
      <c r="L114" s="21">
        <v>0.95595667870036105</v>
      </c>
      <c r="M114" s="21">
        <v>0.95595667870036105</v>
      </c>
      <c r="N114" s="21">
        <v>0.95595667870036105</v>
      </c>
      <c r="O114" s="21">
        <v>0</v>
      </c>
      <c r="P114" s="21">
        <v>0</v>
      </c>
      <c r="Q114" s="21">
        <v>0.95595667870036105</v>
      </c>
      <c r="R114" s="21">
        <v>0.95595667870036105</v>
      </c>
      <c r="S114" s="21">
        <v>0</v>
      </c>
      <c r="T114" s="21">
        <v>0.95595667870036105</v>
      </c>
      <c r="U114" s="21">
        <v>0.95595667870036105</v>
      </c>
      <c r="V114" s="21">
        <v>0</v>
      </c>
      <c r="W114" s="21">
        <v>0</v>
      </c>
      <c r="X114" s="21">
        <v>0</v>
      </c>
      <c r="Y114" s="21">
        <v>0</v>
      </c>
    </row>
    <row r="115" spans="2:27" x14ac:dyDescent="0.35">
      <c r="C115" s="78"/>
      <c r="F115" t="s">
        <v>375</v>
      </c>
      <c r="G115" t="s">
        <v>167</v>
      </c>
      <c r="J115" s="56"/>
      <c r="K115" s="56"/>
      <c r="L115" s="56"/>
      <c r="M115" s="56"/>
      <c r="N115" s="56"/>
      <c r="O115" s="56"/>
      <c r="P115" s="56"/>
      <c r="Q115" s="56"/>
      <c r="R115" s="56"/>
      <c r="S115" s="56"/>
      <c r="T115" s="56"/>
      <c r="U115" s="56"/>
      <c r="V115" s="56"/>
      <c r="W115" s="56"/>
      <c r="X115" s="56"/>
      <c r="Y115" s="56"/>
    </row>
    <row r="116" spans="2:27" x14ac:dyDescent="0.35">
      <c r="C116" s="78"/>
      <c r="F116" s="28" t="s">
        <v>376</v>
      </c>
      <c r="G116" s="28" t="s">
        <v>167</v>
      </c>
      <c r="H116" s="28"/>
      <c r="I116" s="28"/>
      <c r="J116" s="58"/>
      <c r="K116" s="58"/>
      <c r="L116" s="58"/>
      <c r="M116" s="58"/>
      <c r="N116" s="58"/>
      <c r="O116" s="58"/>
      <c r="P116" s="58"/>
      <c r="Q116" s="58"/>
      <c r="R116" s="58"/>
      <c r="S116" s="58"/>
      <c r="T116" s="58"/>
      <c r="U116" s="58"/>
      <c r="V116" s="58"/>
      <c r="W116" s="58"/>
      <c r="X116" s="58"/>
      <c r="Y116" s="58"/>
    </row>
    <row r="117" spans="2:27" x14ac:dyDescent="0.35">
      <c r="C117" s="78"/>
      <c r="D117"/>
      <c r="F117" s="2"/>
    </row>
    <row r="118" spans="2:27" x14ac:dyDescent="0.35">
      <c r="D118"/>
      <c r="E118" s="27" t="s">
        <v>695</v>
      </c>
      <c r="F118" s="2"/>
      <c r="I118" t="s">
        <v>154</v>
      </c>
      <c r="AA118" t="s">
        <v>696</v>
      </c>
    </row>
    <row r="119" spans="2:27" x14ac:dyDescent="0.35">
      <c r="D119"/>
      <c r="E119" s="24" t="s">
        <v>697</v>
      </c>
      <c r="F119" s="2"/>
    </row>
    <row r="120" spans="2:27" x14ac:dyDescent="0.35">
      <c r="D120"/>
      <c r="E120" s="24" t="s">
        <v>698</v>
      </c>
      <c r="F120" s="2"/>
    </row>
    <row r="121" spans="2:27" x14ac:dyDescent="0.35">
      <c r="D121"/>
      <c r="F121" s="19" t="s">
        <v>699</v>
      </c>
      <c r="G121" s="19" t="s">
        <v>672</v>
      </c>
      <c r="H121" s="19"/>
      <c r="I121" s="19"/>
      <c r="J121" s="137">
        <f>'Fixed inputs'!J136</f>
        <v>0</v>
      </c>
      <c r="K121" s="137">
        <f>'Fixed inputs'!K136</f>
        <v>0</v>
      </c>
      <c r="L121" s="137">
        <f>'Fixed inputs'!L136</f>
        <v>0</v>
      </c>
      <c r="M121" s="137">
        <f>'Fixed inputs'!M136</f>
        <v>0</v>
      </c>
      <c r="N121" s="137">
        <f>'Fixed inputs'!N136</f>
        <v>1</v>
      </c>
      <c r="O121" s="137">
        <f>'Fixed inputs'!O136</f>
        <v>1</v>
      </c>
      <c r="P121" s="137">
        <f>'Fixed inputs'!P136</f>
        <v>1</v>
      </c>
      <c r="Q121" s="137">
        <f>'Fixed inputs'!Q136</f>
        <v>0</v>
      </c>
      <c r="R121" s="137">
        <f>'Fixed inputs'!R136</f>
        <v>0</v>
      </c>
      <c r="S121" s="137">
        <f>'Fixed inputs'!S136</f>
        <v>0</v>
      </c>
      <c r="T121" s="137">
        <f>'Fixed inputs'!T136</f>
        <v>0</v>
      </c>
      <c r="U121" s="137">
        <f>'Fixed inputs'!U136</f>
        <v>0</v>
      </c>
      <c r="V121" s="137">
        <f>'Fixed inputs'!V136</f>
        <v>0</v>
      </c>
      <c r="W121" s="137">
        <f>'Fixed inputs'!W136</f>
        <v>0</v>
      </c>
      <c r="X121" s="137">
        <f>'Fixed inputs'!X136</f>
        <v>0</v>
      </c>
      <c r="Y121" s="137">
        <f>'Fixed inputs'!Y136</f>
        <v>0</v>
      </c>
    </row>
    <row r="122" spans="2:27" x14ac:dyDescent="0.35">
      <c r="D122"/>
      <c r="F122" t="s">
        <v>700</v>
      </c>
      <c r="G122" t="s">
        <v>672</v>
      </c>
      <c r="J122" s="138">
        <f>'Fixed inputs'!J137</f>
        <v>0</v>
      </c>
      <c r="K122" s="138">
        <f>'Fixed inputs'!K137</f>
        <v>0</v>
      </c>
      <c r="L122" s="138">
        <f>'Fixed inputs'!L137</f>
        <v>0</v>
      </c>
      <c r="M122" s="138">
        <f>'Fixed inputs'!M137</f>
        <v>0</v>
      </c>
      <c r="N122" s="138">
        <f>'Fixed inputs'!N137</f>
        <v>1</v>
      </c>
      <c r="O122" s="138">
        <f>'Fixed inputs'!O137</f>
        <v>1</v>
      </c>
      <c r="P122" s="138">
        <f>'Fixed inputs'!P137</f>
        <v>1</v>
      </c>
      <c r="Q122" s="138">
        <f>'Fixed inputs'!Q137</f>
        <v>0</v>
      </c>
      <c r="R122" s="138">
        <f>'Fixed inputs'!R137</f>
        <v>0</v>
      </c>
      <c r="S122" s="138">
        <f>'Fixed inputs'!S137</f>
        <v>0</v>
      </c>
      <c r="T122" s="138">
        <f>'Fixed inputs'!T137</f>
        <v>0</v>
      </c>
      <c r="U122" s="138">
        <f>'Fixed inputs'!U137</f>
        <v>0</v>
      </c>
      <c r="V122" s="138">
        <f>'Fixed inputs'!V137</f>
        <v>0</v>
      </c>
      <c r="W122" s="138">
        <f>'Fixed inputs'!W137</f>
        <v>0</v>
      </c>
      <c r="X122" s="138">
        <f>'Fixed inputs'!X137</f>
        <v>0</v>
      </c>
      <c r="Y122" s="138">
        <f>'Fixed inputs'!Y137</f>
        <v>0</v>
      </c>
    </row>
    <row r="123" spans="2:27" x14ac:dyDescent="0.35">
      <c r="D123"/>
      <c r="F123" s="28" t="s">
        <v>227</v>
      </c>
      <c r="G123" s="28" t="s">
        <v>672</v>
      </c>
      <c r="H123" s="28"/>
      <c r="I123" s="28"/>
      <c r="J123" s="138">
        <f>'Fixed inputs'!J139</f>
        <v>1</v>
      </c>
      <c r="K123" s="138">
        <f>'Fixed inputs'!K139</f>
        <v>0</v>
      </c>
      <c r="L123" s="138">
        <f>'Fixed inputs'!L139</f>
        <v>1</v>
      </c>
      <c r="M123" s="138">
        <f>'Fixed inputs'!M139</f>
        <v>0</v>
      </c>
      <c r="N123" s="138">
        <f>'Fixed inputs'!N139</f>
        <v>0</v>
      </c>
      <c r="O123" s="138">
        <f>'Fixed inputs'!O139</f>
        <v>0</v>
      </c>
      <c r="P123" s="138">
        <f>'Fixed inputs'!P139</f>
        <v>0</v>
      </c>
      <c r="Q123" s="138">
        <f>'Fixed inputs'!Q139</f>
        <v>0</v>
      </c>
      <c r="R123" s="138">
        <f>'Fixed inputs'!R139</f>
        <v>0</v>
      </c>
      <c r="S123" s="138">
        <f>'Fixed inputs'!S139</f>
        <v>0</v>
      </c>
      <c r="T123" s="138">
        <f>'Fixed inputs'!T139</f>
        <v>0</v>
      </c>
      <c r="U123" s="138">
        <f>'Fixed inputs'!U139</f>
        <v>0</v>
      </c>
      <c r="V123" s="138">
        <f>'Fixed inputs'!V139</f>
        <v>0</v>
      </c>
      <c r="W123" s="138">
        <f>'Fixed inputs'!W139</f>
        <v>0</v>
      </c>
      <c r="X123" s="138">
        <f>'Fixed inputs'!X139</f>
        <v>0</v>
      </c>
      <c r="Y123" s="138">
        <f>'Fixed inputs'!Y139</f>
        <v>0</v>
      </c>
    </row>
    <row r="124" spans="2:27" x14ac:dyDescent="0.35">
      <c r="C124" s="78"/>
    </row>
    <row r="125" spans="2:27" x14ac:dyDescent="0.35">
      <c r="B125" s="25" t="s">
        <v>701</v>
      </c>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row>
    <row r="126" spans="2:27" x14ac:dyDescent="0.35">
      <c r="C126" s="78"/>
    </row>
    <row r="127" spans="2:27" x14ac:dyDescent="0.35">
      <c r="B127" s="193"/>
      <c r="C127" s="24" t="s">
        <v>702</v>
      </c>
      <c r="D127"/>
      <c r="E127"/>
    </row>
    <row r="128" spans="2:27" x14ac:dyDescent="0.35">
      <c r="C128" s="78"/>
    </row>
    <row r="129" spans="3:27" x14ac:dyDescent="0.35">
      <c r="C129" s="26" t="str">
        <f ca="1">INDEX('Version control'!$H$38:$H$61,MATCH($A$1,'Version control'!$F$38:$F$61,0),1)&amp;"-B: Capacity-based charge elements (to be split between capacity &amp; fixed charges)"</f>
        <v>Section 112-B: Capacity-based charge elements (to be split between capacity &amp; fixed charges)</v>
      </c>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row>
    <row r="131" spans="3:27" x14ac:dyDescent="0.35">
      <c r="C131" s="78"/>
      <c r="E131" s="27" t="s">
        <v>620</v>
      </c>
      <c r="I131" t="s">
        <v>154</v>
      </c>
      <c r="AA131" t="s">
        <v>703</v>
      </c>
    </row>
    <row r="132" spans="3:27" x14ac:dyDescent="0.35">
      <c r="C132" s="78"/>
      <c r="F132" s="19" t="s">
        <v>189</v>
      </c>
      <c r="G132" s="19" t="s">
        <v>271</v>
      </c>
      <c r="H132" s="19"/>
      <c r="I132" s="19"/>
      <c r="J132" s="73"/>
      <c r="K132" s="73"/>
      <c r="L132" s="73"/>
      <c r="M132" s="73"/>
      <c r="N132" s="73"/>
      <c r="O132" s="73"/>
      <c r="P132" s="73"/>
      <c r="Q132" s="73"/>
      <c r="R132" s="73"/>
      <c r="S132" s="73"/>
      <c r="T132" s="73"/>
      <c r="U132" s="73"/>
      <c r="V132" s="73"/>
      <c r="W132" s="73"/>
      <c r="X132" s="73"/>
      <c r="Y132" s="73"/>
    </row>
    <row r="133" spans="3:27" x14ac:dyDescent="0.35">
      <c r="C133" s="78"/>
      <c r="F133" t="s">
        <v>191</v>
      </c>
      <c r="G133" t="s">
        <v>271</v>
      </c>
      <c r="J133" s="69"/>
      <c r="K133" s="69"/>
      <c r="L133" s="69"/>
      <c r="M133" s="69"/>
      <c r="N133" s="69"/>
      <c r="O133" s="69"/>
      <c r="P133" s="69"/>
      <c r="Q133" s="69"/>
      <c r="R133" s="69"/>
      <c r="S133" s="69"/>
      <c r="T133" s="69"/>
      <c r="U133" s="69"/>
      <c r="V133" s="69"/>
      <c r="W133" s="69"/>
      <c r="X133" s="69"/>
      <c r="Y133" s="69"/>
    </row>
    <row r="134" spans="3:27" x14ac:dyDescent="0.35">
      <c r="C134" s="78"/>
      <c r="F134" t="s">
        <v>192</v>
      </c>
      <c r="G134" t="s">
        <v>271</v>
      </c>
      <c r="J134" s="88">
        <f t="shared" ref="J134:K134" si="0">hundred*J95*$H53*J82/$H39*(1-J107)/days_in_year/(1+$H25)*PowerFactor</f>
        <v>0</v>
      </c>
      <c r="K134" s="88">
        <f t="shared" si="0"/>
        <v>0</v>
      </c>
      <c r="L134" s="88">
        <f t="shared" ref="L134:M134" si="1">hundred*L95*$H53*L82/$H39*(1-L107)/days_in_year/(1+$H25)*PowerFactor</f>
        <v>0</v>
      </c>
      <c r="M134" s="88">
        <f t="shared" si="1"/>
        <v>0</v>
      </c>
      <c r="N134" s="88">
        <f t="shared" ref="N134:P134" si="2">hundred*N95*$H53*N82/$H39*(1-N107)/days_in_year/(1+$H25)*PowerFactor</f>
        <v>0</v>
      </c>
      <c r="O134" s="88">
        <f t="shared" si="2"/>
        <v>0</v>
      </c>
      <c r="P134" s="88">
        <f t="shared" si="2"/>
        <v>0</v>
      </c>
      <c r="Q134" s="88">
        <f t="shared" ref="Q134" si="3">hundred*Q95*$H53*Q82/$H39*(1-Q107)/days_in_year/(1+$H25)*PowerFactor</f>
        <v>0</v>
      </c>
      <c r="R134" s="69"/>
      <c r="S134" s="69"/>
      <c r="T134" s="69"/>
      <c r="U134" s="69"/>
      <c r="V134" s="69"/>
      <c r="W134" s="69"/>
      <c r="X134" s="69"/>
      <c r="Y134" s="69"/>
    </row>
    <row r="135" spans="3:27" x14ac:dyDescent="0.35">
      <c r="C135" s="78"/>
      <c r="F135" t="s">
        <v>193</v>
      </c>
      <c r="G135" t="s">
        <v>271</v>
      </c>
      <c r="J135" s="88">
        <f t="shared" ref="J135:K135" si="4">hundred*J96*$H54*J83/$H40*(1-J108)/days_in_year/(1+$H26)*PowerFactor</f>
        <v>0</v>
      </c>
      <c r="K135" s="88">
        <f t="shared" si="4"/>
        <v>0</v>
      </c>
      <c r="L135" s="88">
        <f t="shared" ref="L135:M135" si="5">hundred*L96*$H54*L83/$H40*(1-L108)/days_in_year/(1+$H26)*PowerFactor</f>
        <v>0</v>
      </c>
      <c r="M135" s="88">
        <f t="shared" si="5"/>
        <v>0</v>
      </c>
      <c r="N135" s="88">
        <f t="shared" ref="N135:P135" si="6">hundred*N96*$H54*N83/$H40*(1-N108)/days_in_year/(1+$H26)*PowerFactor</f>
        <v>0</v>
      </c>
      <c r="O135" s="88">
        <f t="shared" si="6"/>
        <v>0</v>
      </c>
      <c r="P135" s="88">
        <f t="shared" si="6"/>
        <v>0</v>
      </c>
      <c r="Q135" s="88">
        <f t="shared" ref="Q135" si="7">hundred*Q96*$H54*Q83/$H40*(1-Q108)/days_in_year/(1+$H26)*PowerFactor</f>
        <v>0</v>
      </c>
      <c r="R135" s="69"/>
      <c r="S135" s="69"/>
      <c r="T135" s="69"/>
      <c r="U135" s="69"/>
      <c r="V135" s="69"/>
      <c r="W135" s="69"/>
      <c r="X135" s="69"/>
      <c r="Y135" s="69"/>
    </row>
    <row r="136" spans="3:27" x14ac:dyDescent="0.35">
      <c r="C136" s="78"/>
      <c r="F136" t="s">
        <v>194</v>
      </c>
      <c r="G136" t="s">
        <v>271</v>
      </c>
      <c r="J136" s="88">
        <f t="shared" ref="J136:K136" si="8">hundred*J97*$H55*J84/$H41*(1-J109)/days_in_year/(1+$H27)*PowerFactor</f>
        <v>0</v>
      </c>
      <c r="K136" s="88">
        <f t="shared" si="8"/>
        <v>0</v>
      </c>
      <c r="L136" s="88">
        <f t="shared" ref="L136:M136" si="9">hundred*L97*$H55*L84/$H41*(1-L109)/days_in_year/(1+$H27)*PowerFactor</f>
        <v>0</v>
      </c>
      <c r="M136" s="88">
        <f t="shared" si="9"/>
        <v>0</v>
      </c>
      <c r="N136" s="88">
        <f t="shared" ref="N136:P136" si="10">hundred*N97*$H55*N84/$H41*(1-N109)/days_in_year/(1+$H27)*PowerFactor</f>
        <v>0</v>
      </c>
      <c r="O136" s="88">
        <f t="shared" si="10"/>
        <v>0</v>
      </c>
      <c r="P136" s="88">
        <f t="shared" si="10"/>
        <v>0.348144906328681</v>
      </c>
      <c r="Q136" s="88">
        <f t="shared" ref="Q136" si="11">hundred*Q97*$H55*Q84/$H41*(1-Q109)/days_in_year/(1+$H27)*PowerFactor</f>
        <v>0</v>
      </c>
      <c r="R136" s="69"/>
      <c r="S136" s="69"/>
      <c r="T136" s="69"/>
      <c r="U136" s="69"/>
      <c r="V136" s="69"/>
      <c r="W136" s="69"/>
      <c r="X136" s="69"/>
      <c r="Y136" s="69"/>
    </row>
    <row r="137" spans="3:27" x14ac:dyDescent="0.35">
      <c r="C137" s="78"/>
      <c r="F137" t="s">
        <v>195</v>
      </c>
      <c r="G137" t="s">
        <v>271</v>
      </c>
      <c r="J137" s="88">
        <f t="shared" ref="J137:K137" si="12">hundred*J98*$H56*J85/$H42*(1-J110)/days_in_year/(1+$H28)*PowerFactor</f>
        <v>0</v>
      </c>
      <c r="K137" s="88">
        <f t="shared" si="12"/>
        <v>0</v>
      </c>
      <c r="L137" s="88">
        <f t="shared" ref="L137:M137" si="13">hundred*L98*$H56*L85/$H42*(1-L110)/days_in_year/(1+$H28)*PowerFactor</f>
        <v>0</v>
      </c>
      <c r="M137" s="88">
        <f t="shared" si="13"/>
        <v>0</v>
      </c>
      <c r="N137" s="88">
        <f t="shared" ref="N137:P137" si="14">hundred*N98*$H56*N85/$H42*(1-N110)/days_in_year/(1+$H28)*PowerFactor</f>
        <v>0</v>
      </c>
      <c r="O137" s="88">
        <f t="shared" si="14"/>
        <v>0</v>
      </c>
      <c r="P137" s="88">
        <f t="shared" si="14"/>
        <v>1.1909208694498854</v>
      </c>
      <c r="Q137" s="88">
        <f t="shared" ref="Q137" si="15">hundred*Q98*$H56*Q85/$H42*(1-Q110)/days_in_year/(1+$H28)*PowerFactor</f>
        <v>0</v>
      </c>
      <c r="R137" s="69"/>
      <c r="S137" s="69"/>
      <c r="T137" s="69"/>
      <c r="U137" s="69"/>
      <c r="V137" s="69"/>
      <c r="W137" s="69"/>
      <c r="X137" s="69"/>
      <c r="Y137" s="69"/>
    </row>
    <row r="138" spans="3:27" x14ac:dyDescent="0.35">
      <c r="C138" s="78"/>
      <c r="F138" t="s">
        <v>196</v>
      </c>
      <c r="G138" t="s">
        <v>271</v>
      </c>
      <c r="J138" s="88">
        <f t="shared" ref="J138:K138" si="16">hundred*J99*$H57*J86/$H43*(1-J111)/days_in_year/(1+$H29)*PowerFactor</f>
        <v>0</v>
      </c>
      <c r="K138" s="88">
        <f t="shared" si="16"/>
        <v>0</v>
      </c>
      <c r="L138" s="88">
        <f t="shared" ref="L138:M138" si="17">hundred*L99*$H57*L86/$H43*(1-L111)/days_in_year/(1+$H29)*PowerFactor</f>
        <v>0</v>
      </c>
      <c r="M138" s="88">
        <f t="shared" si="17"/>
        <v>0</v>
      </c>
      <c r="N138" s="88">
        <f t="shared" ref="N138:P138" si="18">hundred*N99*$H57*N86/$H43*(1-N111)/days_in_year/(1+$H29)*PowerFactor</f>
        <v>0</v>
      </c>
      <c r="O138" s="88">
        <f t="shared" si="18"/>
        <v>0</v>
      </c>
      <c r="P138" s="88">
        <f t="shared" si="18"/>
        <v>0</v>
      </c>
      <c r="Q138" s="88">
        <f t="shared" ref="Q138" si="19">hundred*Q99*$H57*Q86/$H43*(1-Q111)/days_in_year/(1+$H29)*PowerFactor</f>
        <v>0</v>
      </c>
      <c r="R138" s="69"/>
      <c r="S138" s="69"/>
      <c r="T138" s="69"/>
      <c r="U138" s="69"/>
      <c r="V138" s="69"/>
      <c r="W138" s="69"/>
      <c r="X138" s="69"/>
      <c r="Y138" s="69"/>
    </row>
    <row r="139" spans="3:27" x14ac:dyDescent="0.35">
      <c r="C139" s="78"/>
      <c r="F139" t="s">
        <v>197</v>
      </c>
      <c r="G139" t="s">
        <v>271</v>
      </c>
      <c r="J139" s="88">
        <f t="shared" ref="J139:K139" si="20">hundred*J100*$H58*J87/$H44*(1-J112)/days_in_year/(1+$H30)*PowerFactor</f>
        <v>0</v>
      </c>
      <c r="K139" s="88">
        <f t="shared" si="20"/>
        <v>0</v>
      </c>
      <c r="L139" s="88">
        <f t="shared" ref="L139:M139" si="21">hundred*L100*$H58*L87/$H44*(1-L112)/days_in_year/(1+$H30)*PowerFactor</f>
        <v>0</v>
      </c>
      <c r="M139" s="88">
        <f t="shared" si="21"/>
        <v>0</v>
      </c>
      <c r="N139" s="88">
        <f t="shared" ref="N139:P139" si="22">hundred*N100*$H58*N87/$H44*(1-N112)/days_in_year/(1+$H30)*PowerFactor</f>
        <v>0.4197303103496583</v>
      </c>
      <c r="O139" s="88">
        <f t="shared" si="22"/>
        <v>2.0081592371316219</v>
      </c>
      <c r="P139" s="88">
        <f t="shared" si="22"/>
        <v>1.8585273702455114</v>
      </c>
      <c r="Q139" s="88">
        <f t="shared" ref="Q139" si="23">hundred*Q100*$H58*Q87/$H44*(1-Q112)/days_in_year/(1+$H30)*PowerFactor</f>
        <v>0</v>
      </c>
      <c r="R139" s="69"/>
      <c r="S139" s="69"/>
      <c r="T139" s="69"/>
      <c r="U139" s="69"/>
      <c r="V139" s="69"/>
      <c r="W139" s="69"/>
      <c r="X139" s="69"/>
      <c r="Y139" s="69"/>
    </row>
    <row r="140" spans="3:27" x14ac:dyDescent="0.35">
      <c r="C140" s="78"/>
      <c r="F140" t="s">
        <v>198</v>
      </c>
      <c r="G140" t="s">
        <v>271</v>
      </c>
      <c r="J140" s="88">
        <f t="shared" ref="J140:K140" si="24">hundred*J101*$H59*J88/$H45*(1-J113)/days_in_year/(1+$H31)*PowerFactor</f>
        <v>0</v>
      </c>
      <c r="K140" s="88">
        <f t="shared" si="24"/>
        <v>0</v>
      </c>
      <c r="L140" s="88">
        <f t="shared" ref="L140:M140" si="25">hundred*L101*$H59*L88/$H45*(1-L113)/days_in_year/(1+$H31)*PowerFactor</f>
        <v>0</v>
      </c>
      <c r="M140" s="88">
        <f t="shared" si="25"/>
        <v>0</v>
      </c>
      <c r="N140" s="88">
        <f t="shared" ref="N140:P140" si="26">hundred*N101*$H59*N88/$H45*(1-N113)/days_in_year/(1+$H31)*PowerFactor</f>
        <v>0.70802035538067287</v>
      </c>
      <c r="O140" s="88">
        <f t="shared" si="26"/>
        <v>0.67749103730462534</v>
      </c>
      <c r="P140" s="88">
        <f t="shared" si="26"/>
        <v>0</v>
      </c>
      <c r="Q140" s="88">
        <f t="shared" ref="Q140" si="27">hundred*Q101*$H59*Q88/$H45*(1-Q113)/days_in_year/(1+$H31)*PowerFactor</f>
        <v>0</v>
      </c>
      <c r="R140" s="69"/>
      <c r="S140" s="69"/>
      <c r="T140" s="69"/>
      <c r="U140" s="69"/>
      <c r="V140" s="69"/>
      <c r="W140" s="69"/>
      <c r="X140" s="69"/>
      <c r="Y140" s="69"/>
    </row>
    <row r="141" spans="3:27" x14ac:dyDescent="0.35">
      <c r="C141" s="78"/>
      <c r="F141" t="s">
        <v>199</v>
      </c>
      <c r="G141" t="s">
        <v>271</v>
      </c>
      <c r="J141" s="88">
        <f t="shared" ref="J141:K141" si="28">hundred*J102*$H60*J89/$H46*(1-J114)/days_in_year/(1+$H32)*PowerFactor</f>
        <v>0.10733470520721861</v>
      </c>
      <c r="K141" s="88">
        <f t="shared" si="28"/>
        <v>0.10733470520721861</v>
      </c>
      <c r="L141" s="88">
        <f t="shared" ref="L141:M141" si="29">hundred*L102*$H60*L89/$H46*(1-L114)/days_in_year/(1+$H32)*PowerFactor</f>
        <v>0.10733470520721861</v>
      </c>
      <c r="M141" s="88">
        <f t="shared" si="29"/>
        <v>0.10733470520721861</v>
      </c>
      <c r="N141" s="88">
        <f t="shared" ref="N141:P141" si="30">hundred*N102*$H60*N89/$H46*(1-N114)/days_in_year/(1+$H32)*PowerFactor</f>
        <v>0.10733470520721861</v>
      </c>
      <c r="O141" s="88">
        <f t="shared" si="30"/>
        <v>0</v>
      </c>
      <c r="P141" s="88">
        <f t="shared" si="30"/>
        <v>0</v>
      </c>
      <c r="Q141" s="88">
        <f t="shared" ref="Q141" si="31">hundred*Q102*$H60*Q89/$H46*(1-Q114)/days_in_year/(1+$H32)*PowerFactor</f>
        <v>0</v>
      </c>
      <c r="R141" s="69"/>
      <c r="S141" s="69"/>
      <c r="T141" s="69"/>
      <c r="U141" s="69"/>
      <c r="V141" s="69"/>
      <c r="W141" s="69"/>
      <c r="X141" s="69"/>
      <c r="Y141" s="69"/>
    </row>
    <row r="142" spans="3:27" x14ac:dyDescent="0.35">
      <c r="C142" s="78"/>
      <c r="D142"/>
      <c r="F142" t="s">
        <v>375</v>
      </c>
      <c r="G142" t="s">
        <v>271</v>
      </c>
      <c r="J142" s="69"/>
      <c r="K142" s="69"/>
      <c r="L142" s="69"/>
      <c r="M142" s="69"/>
      <c r="N142" s="69"/>
      <c r="O142" s="69"/>
      <c r="P142" s="69"/>
      <c r="Q142" s="69"/>
      <c r="R142" s="69"/>
      <c r="S142" s="69"/>
      <c r="T142" s="69"/>
      <c r="U142" s="69"/>
      <c r="V142" s="69"/>
      <c r="W142" s="69"/>
      <c r="X142" s="69"/>
      <c r="Y142" s="69"/>
    </row>
    <row r="143" spans="3:27" x14ac:dyDescent="0.35">
      <c r="C143" s="78"/>
      <c r="D143"/>
      <c r="F143" s="28" t="s">
        <v>376</v>
      </c>
      <c r="G143" s="28" t="s">
        <v>271</v>
      </c>
      <c r="H143" s="28"/>
      <c r="I143" s="28"/>
      <c r="J143" s="71"/>
      <c r="K143" s="71"/>
      <c r="L143" s="71"/>
      <c r="M143" s="71"/>
      <c r="N143" s="71"/>
      <c r="O143" s="71"/>
      <c r="P143" s="71"/>
      <c r="Q143" s="71"/>
      <c r="R143" s="71"/>
      <c r="S143" s="71"/>
      <c r="T143" s="71"/>
      <c r="U143" s="71"/>
      <c r="V143" s="71"/>
      <c r="W143" s="71"/>
      <c r="X143" s="71"/>
      <c r="Y143" s="71"/>
    </row>
    <row r="144" spans="3:27" x14ac:dyDescent="0.35">
      <c r="C144" s="78"/>
      <c r="D144"/>
      <c r="J144" s="88"/>
      <c r="K144" s="88"/>
      <c r="L144" s="88"/>
      <c r="M144" s="88"/>
      <c r="N144" s="88"/>
      <c r="O144" s="88"/>
      <c r="P144" s="88"/>
      <c r="Q144" s="88"/>
      <c r="R144" s="88"/>
      <c r="S144" s="88"/>
      <c r="T144" s="88"/>
      <c r="U144" s="88"/>
      <c r="V144" s="88"/>
      <c r="W144" s="88"/>
      <c r="X144" s="88"/>
      <c r="Y144" s="88"/>
    </row>
    <row r="145" spans="3:27" x14ac:dyDescent="0.35">
      <c r="C145" s="78"/>
      <c r="E145" s="27" t="s">
        <v>621</v>
      </c>
      <c r="J145" s="88"/>
      <c r="K145" s="88"/>
      <c r="L145" s="88"/>
      <c r="M145" s="88"/>
      <c r="N145" s="88"/>
      <c r="O145" s="88"/>
      <c r="P145" s="88"/>
      <c r="Q145" s="88"/>
      <c r="R145" s="88"/>
      <c r="S145" s="88"/>
      <c r="T145" s="88"/>
      <c r="U145" s="88"/>
      <c r="V145" s="88"/>
      <c r="W145" s="88"/>
      <c r="X145" s="88"/>
      <c r="Y145" s="88"/>
    </row>
    <row r="146" spans="3:27" x14ac:dyDescent="0.35">
      <c r="C146" s="78"/>
      <c r="F146" s="19" t="s">
        <v>189</v>
      </c>
      <c r="G146" s="19" t="s">
        <v>271</v>
      </c>
      <c r="H146" s="19"/>
      <c r="I146" s="19"/>
      <c r="J146" s="143">
        <f t="shared" ref="J146:K146" si="32">hundred*J94*$H65*J80/$H37/days_in_year/(1+$H23)*PowerFactor</f>
        <v>0</v>
      </c>
      <c r="K146" s="143">
        <f t="shared" si="32"/>
        <v>0</v>
      </c>
      <c r="L146" s="143">
        <f t="shared" ref="L146:M146" si="33">hundred*L94*$H65*L80/$H37/days_in_year/(1+$H23)*PowerFactor</f>
        <v>0</v>
      </c>
      <c r="M146" s="143">
        <f t="shared" si="33"/>
        <v>0</v>
      </c>
      <c r="N146" s="143">
        <f t="shared" ref="N146:P146" si="34">hundred*N94*$H65*N80/$H37/days_in_year/(1+$H23)*PowerFactor</f>
        <v>0</v>
      </c>
      <c r="O146" s="143">
        <f t="shared" si="34"/>
        <v>0</v>
      </c>
      <c r="P146" s="143">
        <f t="shared" si="34"/>
        <v>0</v>
      </c>
      <c r="Q146" s="143">
        <f t="shared" ref="Q146" si="35">hundred*Q94*$H65*Q80/$H37/days_in_year/(1+$H23)*PowerFactor</f>
        <v>0</v>
      </c>
      <c r="R146" s="73"/>
      <c r="S146" s="73"/>
      <c r="T146" s="73"/>
      <c r="U146" s="73"/>
      <c r="V146" s="73"/>
      <c r="W146" s="73"/>
      <c r="X146" s="73"/>
      <c r="Y146" s="73"/>
    </row>
    <row r="147" spans="3:27" x14ac:dyDescent="0.35">
      <c r="C147" s="78"/>
      <c r="F147" t="s">
        <v>191</v>
      </c>
      <c r="G147" t="s">
        <v>271</v>
      </c>
      <c r="J147" s="88">
        <f t="shared" ref="J147:K147" si="36">hundred*J94*$H66*J81/$H38/days_in_year/(1+$H24)*PowerFactor</f>
        <v>0</v>
      </c>
      <c r="K147" s="88">
        <f t="shared" si="36"/>
        <v>0</v>
      </c>
      <c r="L147" s="88">
        <f t="shared" ref="L147:M147" si="37">hundred*L94*$H66*L81/$H38/days_in_year/(1+$H24)*PowerFactor</f>
        <v>0</v>
      </c>
      <c r="M147" s="88">
        <f t="shared" si="37"/>
        <v>0</v>
      </c>
      <c r="N147" s="88">
        <f t="shared" ref="N147:P147" si="38">hundred*N94*$H66*N81/$H38/days_in_year/(1+$H24)*PowerFactor</f>
        <v>0</v>
      </c>
      <c r="O147" s="88">
        <f t="shared" si="38"/>
        <v>0</v>
      </c>
      <c r="P147" s="88">
        <f t="shared" si="38"/>
        <v>0</v>
      </c>
      <c r="Q147" s="88">
        <f t="shared" ref="Q147" si="39">hundred*Q94*$H66*Q81/$H38/days_in_year/(1+$H24)*PowerFactor</f>
        <v>0</v>
      </c>
      <c r="R147" s="69"/>
      <c r="S147" s="69"/>
      <c r="T147" s="69"/>
      <c r="U147" s="69"/>
      <c r="V147" s="69"/>
      <c r="W147" s="69"/>
      <c r="X147" s="69"/>
      <c r="Y147" s="69"/>
    </row>
    <row r="148" spans="3:27" x14ac:dyDescent="0.35">
      <c r="C148" s="78"/>
      <c r="F148" t="s">
        <v>192</v>
      </c>
      <c r="G148" t="s">
        <v>271</v>
      </c>
      <c r="J148" s="88">
        <f t="shared" ref="J148:K148" si="40">hundred*J95*$H67*J82/$H39/days_in_year/(1+$H25)*PowerFactor</f>
        <v>0</v>
      </c>
      <c r="K148" s="88">
        <f t="shared" si="40"/>
        <v>0</v>
      </c>
      <c r="L148" s="88">
        <f t="shared" ref="L148:M148" si="41">hundred*L95*$H67*L82/$H39/days_in_year/(1+$H25)*PowerFactor</f>
        <v>0</v>
      </c>
      <c r="M148" s="88">
        <f t="shared" si="41"/>
        <v>0</v>
      </c>
      <c r="N148" s="88">
        <f t="shared" ref="N148:P148" si="42">hundred*N95*$H67*N82/$H39/days_in_year/(1+$H25)*PowerFactor</f>
        <v>0</v>
      </c>
      <c r="O148" s="88">
        <f t="shared" si="42"/>
        <v>0</v>
      </c>
      <c r="P148" s="88">
        <f t="shared" si="42"/>
        <v>0</v>
      </c>
      <c r="Q148" s="88">
        <f t="shared" ref="Q148" si="43">hundred*Q95*$H67*Q82/$H39/days_in_year/(1+$H25)*PowerFactor</f>
        <v>0</v>
      </c>
      <c r="R148" s="69"/>
      <c r="S148" s="69"/>
      <c r="T148" s="69"/>
      <c r="U148" s="69"/>
      <c r="V148" s="69"/>
      <c r="W148" s="69"/>
      <c r="X148" s="69"/>
      <c r="Y148" s="69"/>
    </row>
    <row r="149" spans="3:27" x14ac:dyDescent="0.35">
      <c r="C149" s="78"/>
      <c r="F149" t="s">
        <v>193</v>
      </c>
      <c r="G149" t="s">
        <v>271</v>
      </c>
      <c r="J149" s="88">
        <f t="shared" ref="J149:K149" si="44">hundred*J96*$H68*J83/$H40/days_in_year/(1+$H26)*PowerFactor</f>
        <v>0</v>
      </c>
      <c r="K149" s="88">
        <f t="shared" si="44"/>
        <v>0</v>
      </c>
      <c r="L149" s="88">
        <f t="shared" ref="L149:M149" si="45">hundred*L96*$H68*L83/$H40/days_in_year/(1+$H26)*PowerFactor</f>
        <v>0</v>
      </c>
      <c r="M149" s="88">
        <f t="shared" si="45"/>
        <v>0</v>
      </c>
      <c r="N149" s="88">
        <f t="shared" ref="N149:P149" si="46">hundred*N96*$H68*N83/$H40/days_in_year/(1+$H26)*PowerFactor</f>
        <v>0</v>
      </c>
      <c r="O149" s="88">
        <f t="shared" si="46"/>
        <v>0</v>
      </c>
      <c r="P149" s="88">
        <f t="shared" si="46"/>
        <v>0</v>
      </c>
      <c r="Q149" s="88">
        <f t="shared" ref="Q149" si="47">hundred*Q96*$H68*Q83/$H40/days_in_year/(1+$H26)*PowerFactor</f>
        <v>0</v>
      </c>
      <c r="R149" s="69"/>
      <c r="S149" s="69"/>
      <c r="T149" s="69"/>
      <c r="U149" s="69"/>
      <c r="V149" s="69"/>
      <c r="W149" s="69"/>
      <c r="X149" s="69"/>
      <c r="Y149" s="69"/>
    </row>
    <row r="150" spans="3:27" x14ac:dyDescent="0.35">
      <c r="C150" s="78"/>
      <c r="F150" t="s">
        <v>194</v>
      </c>
      <c r="G150" t="s">
        <v>271</v>
      </c>
      <c r="J150" s="88">
        <f t="shared" ref="J150:K150" si="48">hundred*J97*$H69*J84/$H41/days_in_year/(1+$H27)*PowerFactor</f>
        <v>0</v>
      </c>
      <c r="K150" s="88">
        <f t="shared" si="48"/>
        <v>0</v>
      </c>
      <c r="L150" s="88">
        <f t="shared" ref="L150:M150" si="49">hundred*L97*$H69*L84/$H41/days_in_year/(1+$H27)*PowerFactor</f>
        <v>0</v>
      </c>
      <c r="M150" s="88">
        <f t="shared" si="49"/>
        <v>0</v>
      </c>
      <c r="N150" s="88">
        <f t="shared" ref="N150:P150" si="50">hundred*N97*$H69*N84/$H41/days_in_year/(1+$H27)*PowerFactor</f>
        <v>0</v>
      </c>
      <c r="O150" s="88">
        <f t="shared" si="50"/>
        <v>0</v>
      </c>
      <c r="P150" s="88">
        <f t="shared" si="50"/>
        <v>0.24021663669373225</v>
      </c>
      <c r="Q150" s="88">
        <f t="shared" ref="Q150" si="51">hundred*Q97*$H69*Q84/$H41/days_in_year/(1+$H27)*PowerFactor</f>
        <v>0</v>
      </c>
      <c r="R150" s="69"/>
      <c r="S150" s="69"/>
      <c r="T150" s="69"/>
      <c r="U150" s="69"/>
      <c r="V150" s="69"/>
      <c r="W150" s="69"/>
      <c r="X150" s="69"/>
      <c r="Y150" s="69"/>
    </row>
    <row r="151" spans="3:27" x14ac:dyDescent="0.35">
      <c r="C151" s="78"/>
      <c r="F151" t="s">
        <v>195</v>
      </c>
      <c r="G151" t="s">
        <v>271</v>
      </c>
      <c r="J151" s="88">
        <f t="shared" ref="J151:K151" si="52">hundred*J98*$H70*J85/$H42/days_in_year/(1+$H28)*PowerFactor</f>
        <v>0</v>
      </c>
      <c r="K151" s="88">
        <f t="shared" si="52"/>
        <v>0</v>
      </c>
      <c r="L151" s="88">
        <f t="shared" ref="L151:M151" si="53">hundred*L98*$H70*L85/$H42/days_in_year/(1+$H28)*PowerFactor</f>
        <v>0</v>
      </c>
      <c r="M151" s="88">
        <f t="shared" si="53"/>
        <v>0</v>
      </c>
      <c r="N151" s="88">
        <f t="shared" ref="N151:P151" si="54">hundred*N98*$H70*N85/$H42/days_in_year/(1+$H28)*PowerFactor</f>
        <v>0</v>
      </c>
      <c r="O151" s="88">
        <f t="shared" si="54"/>
        <v>0</v>
      </c>
      <c r="P151" s="88">
        <f t="shared" si="54"/>
        <v>0.84975693158491261</v>
      </c>
      <c r="Q151" s="88">
        <f t="shared" ref="Q151" si="55">hundred*Q98*$H70*Q85/$H42/days_in_year/(1+$H28)*PowerFactor</f>
        <v>0</v>
      </c>
      <c r="R151" s="69"/>
      <c r="S151" s="69"/>
      <c r="T151" s="69"/>
      <c r="U151" s="69"/>
      <c r="V151" s="69"/>
      <c r="W151" s="69"/>
      <c r="X151" s="69"/>
      <c r="Y151" s="69"/>
    </row>
    <row r="152" spans="3:27" x14ac:dyDescent="0.35">
      <c r="C152" s="78"/>
      <c r="F152" t="s">
        <v>196</v>
      </c>
      <c r="G152" t="s">
        <v>271</v>
      </c>
      <c r="J152" s="88">
        <f t="shared" ref="J152:K152" si="56">hundred*J99*$H71*J86/$H43/days_in_year/(1+$H29)*PowerFactor</f>
        <v>0</v>
      </c>
      <c r="K152" s="88">
        <f t="shared" si="56"/>
        <v>0</v>
      </c>
      <c r="L152" s="88">
        <f t="shared" ref="L152:M152" si="57">hundred*L99*$H71*L86/$H43/days_in_year/(1+$H29)*PowerFactor</f>
        <v>0</v>
      </c>
      <c r="M152" s="88">
        <f t="shared" si="57"/>
        <v>0</v>
      </c>
      <c r="N152" s="88">
        <f t="shared" ref="N152:P152" si="58">hundred*N99*$H71*N86/$H43/days_in_year/(1+$H29)*PowerFactor</f>
        <v>0</v>
      </c>
      <c r="O152" s="88">
        <f t="shared" si="58"/>
        <v>0</v>
      </c>
      <c r="P152" s="88">
        <f t="shared" si="58"/>
        <v>0</v>
      </c>
      <c r="Q152" s="88">
        <f t="shared" ref="Q152" si="59">hundred*Q99*$H71*Q86/$H43/days_in_year/(1+$H29)*PowerFactor</f>
        <v>0</v>
      </c>
      <c r="R152" s="69"/>
      <c r="S152" s="69"/>
      <c r="T152" s="69"/>
      <c r="U152" s="69"/>
      <c r="V152" s="69"/>
      <c r="W152" s="69"/>
      <c r="X152" s="69"/>
      <c r="Y152" s="69"/>
    </row>
    <row r="153" spans="3:27" x14ac:dyDescent="0.35">
      <c r="C153" s="78"/>
      <c r="F153" t="s">
        <v>197</v>
      </c>
      <c r="G153" t="s">
        <v>271</v>
      </c>
      <c r="J153" s="88">
        <f t="shared" ref="J153:K153" si="60">hundred*J100*$H72*J87/$H44/days_in_year/(1+$H30)*PowerFactor</f>
        <v>0</v>
      </c>
      <c r="K153" s="88">
        <f t="shared" si="60"/>
        <v>0</v>
      </c>
      <c r="L153" s="88">
        <f t="shared" ref="L153:M153" si="61">hundred*L100*$H72*L87/$H44/days_in_year/(1+$H30)*PowerFactor</f>
        <v>0</v>
      </c>
      <c r="M153" s="88">
        <f t="shared" si="61"/>
        <v>0</v>
      </c>
      <c r="N153" s="88">
        <f t="shared" ref="N153:P153" si="62">hundred*N100*$H72*N87/$H44/days_in_year/(1+$H30)*PowerFactor</f>
        <v>0.4261035377400359</v>
      </c>
      <c r="O153" s="88">
        <f t="shared" si="62"/>
        <v>2.0386513296461346</v>
      </c>
      <c r="P153" s="88">
        <f t="shared" si="62"/>
        <v>2.0073776755000767</v>
      </c>
      <c r="Q153" s="88">
        <f t="shared" ref="Q153" si="63">hundred*Q100*$H72*Q87/$H44/days_in_year/(1+$H30)*PowerFactor</f>
        <v>0</v>
      </c>
      <c r="R153" s="69"/>
      <c r="S153" s="69"/>
      <c r="T153" s="69"/>
      <c r="U153" s="69"/>
      <c r="V153" s="69"/>
      <c r="W153" s="69"/>
      <c r="X153" s="69"/>
      <c r="Y153" s="69"/>
    </row>
    <row r="154" spans="3:27" x14ac:dyDescent="0.35">
      <c r="C154" s="78"/>
      <c r="F154" t="s">
        <v>198</v>
      </c>
      <c r="G154" t="s">
        <v>271</v>
      </c>
      <c r="J154" s="88">
        <f t="shared" ref="J154:K154" si="64">hundred*J101*$H73*J88/$H45/days_in_year/(1+$H31)*PowerFactor</f>
        <v>0</v>
      </c>
      <c r="K154" s="88">
        <f t="shared" si="64"/>
        <v>0</v>
      </c>
      <c r="L154" s="88">
        <f t="shared" ref="L154:M154" si="65">hundred*L101*$H73*L88/$H45/days_in_year/(1+$H31)*PowerFactor</f>
        <v>0</v>
      </c>
      <c r="M154" s="88">
        <f t="shared" si="65"/>
        <v>0</v>
      </c>
      <c r="N154" s="88">
        <f t="shared" ref="N154:P154" si="66">hundred*N101*$H73*N88/$H45/days_in_year/(1+$H31)*PowerFactor</f>
        <v>0.81816855822695989</v>
      </c>
      <c r="O154" s="88">
        <f t="shared" si="66"/>
        <v>0.78288973048689825</v>
      </c>
      <c r="P154" s="88">
        <f t="shared" si="66"/>
        <v>0</v>
      </c>
      <c r="Q154" s="88">
        <f t="shared" ref="Q154" si="67">hundred*Q101*$H73*Q88/$H45/days_in_year/(1+$H31)*PowerFactor</f>
        <v>0</v>
      </c>
      <c r="R154" s="69"/>
      <c r="S154" s="69"/>
      <c r="T154" s="69"/>
      <c r="U154" s="69"/>
      <c r="V154" s="69"/>
      <c r="W154" s="69"/>
      <c r="X154" s="69"/>
      <c r="Y154" s="69"/>
    </row>
    <row r="155" spans="3:27" x14ac:dyDescent="0.35">
      <c r="C155" s="78"/>
      <c r="F155" t="s">
        <v>199</v>
      </c>
      <c r="G155" t="s">
        <v>271</v>
      </c>
      <c r="J155" s="88">
        <f t="shared" ref="J155:K155" si="68">hundred*J102*$H74*J89/$H46/days_in_year/(1+$H32)*PowerFactor</f>
        <v>1.623459995181769</v>
      </c>
      <c r="K155" s="88">
        <f t="shared" si="68"/>
        <v>1.623459995181769</v>
      </c>
      <c r="L155" s="88">
        <f t="shared" ref="L155:M155" si="69">hundred*L102*$H74*L89/$H46/days_in_year/(1+$H32)*PowerFactor</f>
        <v>1.623459995181769</v>
      </c>
      <c r="M155" s="88">
        <f t="shared" si="69"/>
        <v>1.623459995181769</v>
      </c>
      <c r="N155" s="88">
        <f t="shared" ref="N155:P155" si="70">hundred*N102*$H74*N89/$H46/days_in_year/(1+$H32)*PowerFactor</f>
        <v>1.623459995181769</v>
      </c>
      <c r="O155" s="88">
        <f t="shared" si="70"/>
        <v>0</v>
      </c>
      <c r="P155" s="88">
        <f t="shared" si="70"/>
        <v>0</v>
      </c>
      <c r="Q155" s="88">
        <f t="shared" ref="Q155" si="71">hundred*Q102*$H74*Q89/$H46/days_in_year/(1+$H32)*PowerFactor</f>
        <v>0</v>
      </c>
      <c r="R155" s="69"/>
      <c r="S155" s="69"/>
      <c r="T155" s="69"/>
      <c r="U155" s="69"/>
      <c r="V155" s="69"/>
      <c r="W155" s="69"/>
      <c r="X155" s="69"/>
      <c r="Y155" s="69"/>
    </row>
    <row r="156" spans="3:27" x14ac:dyDescent="0.35">
      <c r="C156" s="78"/>
      <c r="D156"/>
      <c r="F156" t="s">
        <v>375</v>
      </c>
      <c r="G156" t="s">
        <v>271</v>
      </c>
      <c r="J156" s="69"/>
      <c r="K156" s="69"/>
      <c r="L156" s="69"/>
      <c r="M156" s="69"/>
      <c r="N156" s="69"/>
      <c r="O156" s="69"/>
      <c r="P156" s="69"/>
      <c r="Q156" s="69"/>
      <c r="R156" s="69"/>
      <c r="S156" s="69"/>
      <c r="T156" s="69"/>
      <c r="U156" s="69"/>
      <c r="V156" s="69"/>
      <c r="W156" s="69"/>
      <c r="X156" s="69"/>
      <c r="Y156" s="69"/>
    </row>
    <row r="157" spans="3:27" x14ac:dyDescent="0.35">
      <c r="C157" s="78"/>
      <c r="D157"/>
      <c r="F157" s="28" t="s">
        <v>376</v>
      </c>
      <c r="G157" s="28" t="s">
        <v>271</v>
      </c>
      <c r="H157" s="28"/>
      <c r="I157" s="28"/>
      <c r="J157" s="71"/>
      <c r="K157" s="71"/>
      <c r="L157" s="71"/>
      <c r="M157" s="71"/>
      <c r="N157" s="71"/>
      <c r="O157" s="71"/>
      <c r="P157" s="71"/>
      <c r="Q157" s="71"/>
      <c r="R157" s="71"/>
      <c r="S157" s="71"/>
      <c r="T157" s="71"/>
      <c r="U157" s="71"/>
      <c r="V157" s="71"/>
      <c r="W157" s="71"/>
      <c r="X157" s="71"/>
      <c r="Y157" s="71"/>
    </row>
    <row r="158" spans="3:27" x14ac:dyDescent="0.35">
      <c r="C158" s="78"/>
      <c r="J158" s="88"/>
      <c r="K158" s="88"/>
      <c r="L158" s="88"/>
      <c r="M158" s="88"/>
      <c r="N158" s="88"/>
      <c r="O158" s="88"/>
      <c r="P158" s="88"/>
      <c r="Q158" s="88"/>
      <c r="R158" s="88"/>
      <c r="S158" s="88"/>
      <c r="T158" s="88"/>
      <c r="U158" s="88"/>
      <c r="V158" s="88"/>
      <c r="W158" s="88"/>
      <c r="X158" s="88"/>
      <c r="Y158" s="88"/>
    </row>
    <row r="159" spans="3:27" x14ac:dyDescent="0.35">
      <c r="C159" s="26" t="str">
        <f ca="1">INDEX('Version control'!$H$38:$H$61,MATCH($A$1,'Version control'!$F$38:$F$61,0),1)&amp;"-C: Exceeded capacity-based charge elements"</f>
        <v>Section 112-C: Exceeded capacity-based charge elements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35">
      <c r="J160" s="79"/>
      <c r="K160" s="79"/>
      <c r="L160" s="79"/>
      <c r="M160" s="79"/>
      <c r="N160" s="79"/>
      <c r="O160" s="79"/>
      <c r="P160" s="79"/>
      <c r="Q160" s="79"/>
      <c r="R160" s="79"/>
      <c r="S160" s="79"/>
      <c r="T160" s="79"/>
      <c r="U160" s="79"/>
      <c r="V160" s="79"/>
      <c r="W160" s="79"/>
      <c r="X160" s="79"/>
      <c r="Y160" s="79"/>
    </row>
    <row r="161" spans="3:25" x14ac:dyDescent="0.35">
      <c r="C161" s="78"/>
      <c r="E161" s="27" t="s">
        <v>620</v>
      </c>
      <c r="J161" s="79"/>
      <c r="K161" s="79"/>
      <c r="L161" s="79"/>
      <c r="M161" s="79"/>
      <c r="N161" s="79"/>
      <c r="O161" s="79"/>
      <c r="P161" s="79"/>
      <c r="Q161" s="79"/>
      <c r="R161" s="79"/>
      <c r="S161" s="79"/>
      <c r="T161" s="79"/>
      <c r="U161" s="79"/>
      <c r="V161" s="79"/>
      <c r="W161" s="79"/>
      <c r="X161" s="79"/>
      <c r="Y161" s="79"/>
    </row>
    <row r="162" spans="3:25" x14ac:dyDescent="0.35">
      <c r="C162" s="78"/>
      <c r="F162" s="19" t="s">
        <v>189</v>
      </c>
      <c r="G162" s="19" t="s">
        <v>271</v>
      </c>
      <c r="H162" s="19"/>
      <c r="I162" s="19"/>
      <c r="J162" s="73"/>
      <c r="K162" s="73"/>
      <c r="L162" s="73"/>
      <c r="M162" s="73"/>
      <c r="N162" s="73"/>
      <c r="O162" s="73"/>
      <c r="P162" s="73"/>
      <c r="Q162" s="73"/>
      <c r="R162" s="73"/>
      <c r="S162" s="73"/>
      <c r="T162" s="73"/>
      <c r="U162" s="73"/>
      <c r="V162" s="73"/>
      <c r="W162" s="73"/>
      <c r="X162" s="73"/>
      <c r="Y162" s="73"/>
    </row>
    <row r="163" spans="3:25" x14ac:dyDescent="0.35">
      <c r="C163" s="78"/>
      <c r="F163" t="s">
        <v>191</v>
      </c>
      <c r="G163" t="s">
        <v>271</v>
      </c>
      <c r="J163" s="69"/>
      <c r="K163" s="69"/>
      <c r="L163" s="69"/>
      <c r="M163" s="69"/>
      <c r="N163" s="69"/>
      <c r="O163" s="69"/>
      <c r="P163" s="69"/>
      <c r="Q163" s="69"/>
      <c r="R163" s="69"/>
      <c r="S163" s="69"/>
      <c r="T163" s="69"/>
      <c r="U163" s="69"/>
      <c r="V163" s="69"/>
      <c r="W163" s="69"/>
      <c r="X163" s="69"/>
      <c r="Y163" s="69"/>
    </row>
    <row r="164" spans="3:25" x14ac:dyDescent="0.35">
      <c r="C164" s="78"/>
      <c r="F164" t="s">
        <v>192</v>
      </c>
      <c r="G164" t="s">
        <v>271</v>
      </c>
      <c r="J164" s="88">
        <f t="shared" ref="J164:K164" si="72">hundred*J95*$H53*J82/$H39/days_in_year/(1+$H25)*PowerFactor</f>
        <v>0</v>
      </c>
      <c r="K164" s="88">
        <f t="shared" si="72"/>
        <v>0</v>
      </c>
      <c r="L164" s="88">
        <f t="shared" ref="L164:M164" si="73">hundred*L95*$H53*L82/$H39/days_in_year/(1+$H25)*PowerFactor</f>
        <v>0</v>
      </c>
      <c r="M164" s="88">
        <f t="shared" si="73"/>
        <v>0</v>
      </c>
      <c r="N164" s="88">
        <f t="shared" ref="N164:P164" si="74">hundred*N95*$H53*N82/$H39/days_in_year/(1+$H25)*PowerFactor</f>
        <v>0</v>
      </c>
      <c r="O164" s="88">
        <f t="shared" si="74"/>
        <v>0</v>
      </c>
      <c r="P164" s="88">
        <f t="shared" si="74"/>
        <v>0</v>
      </c>
      <c r="Q164" s="88">
        <f t="shared" ref="Q164" si="75">hundred*Q95*$H53*Q82/$H39/days_in_year/(1+$H25)*PowerFactor</f>
        <v>0</v>
      </c>
      <c r="R164" s="69"/>
      <c r="S164" s="69"/>
      <c r="T164" s="69"/>
      <c r="U164" s="69"/>
      <c r="V164" s="69"/>
      <c r="W164" s="69"/>
      <c r="X164" s="69"/>
      <c r="Y164" s="69"/>
    </row>
    <row r="165" spans="3:25" x14ac:dyDescent="0.35">
      <c r="C165" s="78"/>
      <c r="F165" t="s">
        <v>193</v>
      </c>
      <c r="G165" t="s">
        <v>271</v>
      </c>
      <c r="J165" s="88">
        <f t="shared" ref="J165:K165" si="76">hundred*J96*$H54*J83/$H40/days_in_year/(1+$H26)*PowerFactor</f>
        <v>0</v>
      </c>
      <c r="K165" s="88">
        <f t="shared" si="76"/>
        <v>0</v>
      </c>
      <c r="L165" s="88">
        <f t="shared" ref="L165:M165" si="77">hundred*L96*$H54*L83/$H40/days_in_year/(1+$H26)*PowerFactor</f>
        <v>0</v>
      </c>
      <c r="M165" s="88">
        <f t="shared" si="77"/>
        <v>0</v>
      </c>
      <c r="N165" s="88">
        <f t="shared" ref="N165:P165" si="78">hundred*N96*$H54*N83/$H40/days_in_year/(1+$H26)*PowerFactor</f>
        <v>0</v>
      </c>
      <c r="O165" s="88">
        <f t="shared" si="78"/>
        <v>0</v>
      </c>
      <c r="P165" s="88">
        <f t="shared" si="78"/>
        <v>0</v>
      </c>
      <c r="Q165" s="88">
        <f t="shared" ref="Q165" si="79">hundred*Q96*$H54*Q83/$H40/days_in_year/(1+$H26)*PowerFactor</f>
        <v>0</v>
      </c>
      <c r="R165" s="69"/>
      <c r="S165" s="69"/>
      <c r="T165" s="69"/>
      <c r="U165" s="69"/>
      <c r="V165" s="69"/>
      <c r="W165" s="69"/>
      <c r="X165" s="69"/>
      <c r="Y165" s="69"/>
    </row>
    <row r="166" spans="3:25" x14ac:dyDescent="0.35">
      <c r="C166" s="78"/>
      <c r="F166" t="s">
        <v>194</v>
      </c>
      <c r="G166" t="s">
        <v>271</v>
      </c>
      <c r="J166" s="88">
        <f t="shared" ref="J166:K166" si="80">hundred*J97*$H55*J84/$H41/days_in_year/(1+$H27)*PowerFactor</f>
        <v>0</v>
      </c>
      <c r="K166" s="88">
        <f t="shared" si="80"/>
        <v>0</v>
      </c>
      <c r="L166" s="88">
        <f t="shared" ref="L166:M166" si="81">hundred*L97*$H55*L84/$H41/days_in_year/(1+$H27)*PowerFactor</f>
        <v>0</v>
      </c>
      <c r="M166" s="88">
        <f t="shared" si="81"/>
        <v>0</v>
      </c>
      <c r="N166" s="88">
        <f t="shared" ref="N166:P166" si="82">hundred*N97*$H55*N84/$H41/days_in_year/(1+$H27)*PowerFactor</f>
        <v>0</v>
      </c>
      <c r="O166" s="88">
        <f t="shared" si="82"/>
        <v>0</v>
      </c>
      <c r="P166" s="88">
        <f t="shared" si="82"/>
        <v>0.36059657462265526</v>
      </c>
      <c r="Q166" s="88">
        <f t="shared" ref="Q166" si="83">hundred*Q97*$H55*Q84/$H41/days_in_year/(1+$H27)*PowerFactor</f>
        <v>0</v>
      </c>
      <c r="R166" s="69"/>
      <c r="S166" s="69"/>
      <c r="T166" s="69"/>
      <c r="U166" s="69"/>
      <c r="V166" s="69"/>
      <c r="W166" s="69"/>
      <c r="X166" s="69"/>
      <c r="Y166" s="69"/>
    </row>
    <row r="167" spans="3:25" x14ac:dyDescent="0.35">
      <c r="C167" s="78"/>
      <c r="F167" t="s">
        <v>195</v>
      </c>
      <c r="G167" t="s">
        <v>271</v>
      </c>
      <c r="J167" s="88">
        <f t="shared" ref="J167:K167" si="84">hundred*J98*$H56*J85/$H42/days_in_year/(1+$H28)*PowerFactor</f>
        <v>0</v>
      </c>
      <c r="K167" s="88">
        <f t="shared" si="84"/>
        <v>0</v>
      </c>
      <c r="L167" s="88">
        <f t="shared" ref="L167:M167" si="85">hundred*L98*$H56*L85/$H42/days_in_year/(1+$H28)*PowerFactor</f>
        <v>0</v>
      </c>
      <c r="M167" s="88">
        <f t="shared" si="85"/>
        <v>0</v>
      </c>
      <c r="N167" s="88">
        <f t="shared" ref="N167:P167" si="86">hundred*N98*$H56*N85/$H42/days_in_year/(1+$H28)*PowerFactor</f>
        <v>0</v>
      </c>
      <c r="O167" s="88">
        <f t="shared" si="86"/>
        <v>0</v>
      </c>
      <c r="P167" s="88">
        <f t="shared" si="86"/>
        <v>1.2755962409966282</v>
      </c>
      <c r="Q167" s="88">
        <f t="shared" ref="Q167" si="87">hundred*Q98*$H56*Q85/$H42/days_in_year/(1+$H28)*PowerFactor</f>
        <v>0</v>
      </c>
      <c r="R167" s="69"/>
      <c r="S167" s="69"/>
      <c r="T167" s="69"/>
      <c r="U167" s="69"/>
      <c r="V167" s="69"/>
      <c r="W167" s="69"/>
      <c r="X167" s="69"/>
      <c r="Y167" s="69"/>
    </row>
    <row r="168" spans="3:25" x14ac:dyDescent="0.35">
      <c r="C168" s="78"/>
      <c r="F168" t="s">
        <v>196</v>
      </c>
      <c r="G168" t="s">
        <v>271</v>
      </c>
      <c r="J168" s="88">
        <f t="shared" ref="J168:K168" si="88">hundred*J99*$H57*J86/$H43/days_in_year/(1+$H29)*PowerFactor</f>
        <v>0</v>
      </c>
      <c r="K168" s="88">
        <f t="shared" si="88"/>
        <v>0</v>
      </c>
      <c r="L168" s="88">
        <f t="shared" ref="L168:M168" si="89">hundred*L99*$H57*L86/$H43/days_in_year/(1+$H29)*PowerFactor</f>
        <v>0</v>
      </c>
      <c r="M168" s="88">
        <f t="shared" si="89"/>
        <v>0</v>
      </c>
      <c r="N168" s="88">
        <f t="shared" ref="N168:P168" si="90">hundred*N99*$H57*N86/$H43/days_in_year/(1+$H29)*PowerFactor</f>
        <v>0</v>
      </c>
      <c r="O168" s="88">
        <f t="shared" si="90"/>
        <v>0</v>
      </c>
      <c r="P168" s="88">
        <f t="shared" si="90"/>
        <v>0</v>
      </c>
      <c r="Q168" s="88">
        <f t="shared" ref="Q168" si="91">hundred*Q99*$H57*Q86/$H43/days_in_year/(1+$H29)*PowerFactor</f>
        <v>0</v>
      </c>
      <c r="R168" s="69"/>
      <c r="S168" s="69"/>
      <c r="T168" s="69"/>
      <c r="U168" s="69"/>
      <c r="V168" s="69"/>
      <c r="W168" s="69"/>
      <c r="X168" s="69"/>
      <c r="Y168" s="69"/>
    </row>
    <row r="169" spans="3:25" x14ac:dyDescent="0.35">
      <c r="C169" s="78"/>
      <c r="F169" t="s">
        <v>197</v>
      </c>
      <c r="G169" t="s">
        <v>271</v>
      </c>
      <c r="J169" s="88">
        <f t="shared" ref="J169:K169" si="92">hundred*J100*$H58*J87/$H44/days_in_year/(1+$H30)*PowerFactor</f>
        <v>0</v>
      </c>
      <c r="K169" s="88">
        <f t="shared" si="92"/>
        <v>0</v>
      </c>
      <c r="L169" s="88">
        <f t="shared" ref="L169:M169" si="93">hundred*L100*$H58*L87/$H44/days_in_year/(1+$H30)*PowerFactor</f>
        <v>0</v>
      </c>
      <c r="M169" s="88">
        <f t="shared" si="93"/>
        <v>0</v>
      </c>
      <c r="N169" s="88">
        <f t="shared" ref="N169:P169" si="94">hundred*N100*$H58*N87/$H44/days_in_year/(1+$H30)*PowerFactor</f>
        <v>0.63963711364235143</v>
      </c>
      <c r="O169" s="88">
        <f t="shared" si="94"/>
        <v>3.0602821538026261</v>
      </c>
      <c r="P169" s="88">
        <f t="shared" si="94"/>
        <v>3.013336310599517</v>
      </c>
      <c r="Q169" s="88">
        <f t="shared" ref="Q169" si="95">hundred*Q100*$H58*Q87/$H44/days_in_year/(1+$H30)*PowerFactor</f>
        <v>0</v>
      </c>
      <c r="R169" s="69"/>
      <c r="S169" s="69"/>
      <c r="T169" s="69"/>
      <c r="U169" s="69"/>
      <c r="V169" s="69"/>
      <c r="W169" s="69"/>
      <c r="X169" s="69"/>
      <c r="Y169" s="69"/>
    </row>
    <row r="170" spans="3:25" x14ac:dyDescent="0.35">
      <c r="C170" s="78"/>
      <c r="F170" t="s">
        <v>198</v>
      </c>
      <c r="G170" t="s">
        <v>271</v>
      </c>
      <c r="J170" s="88">
        <f t="shared" ref="J170:K170" si="96">hundred*J101*$H59*J88/$H45/days_in_year/(1+$H31)*PowerFactor</f>
        <v>0</v>
      </c>
      <c r="K170" s="88">
        <f t="shared" si="96"/>
        <v>0</v>
      </c>
      <c r="L170" s="88">
        <f t="shared" ref="L170:M170" si="97">hundred*L101*$H59*L88/$H45/days_in_year/(1+$H31)*PowerFactor</f>
        <v>0</v>
      </c>
      <c r="M170" s="88">
        <f t="shared" si="97"/>
        <v>0</v>
      </c>
      <c r="N170" s="88">
        <f t="shared" ref="N170:P170" si="98">hundred*N101*$H59*N88/$H45/days_in_year/(1+$H31)*PowerFactor</f>
        <v>1.2281779631139766</v>
      </c>
      <c r="O170" s="88">
        <f t="shared" si="98"/>
        <v>1.1752198307595207</v>
      </c>
      <c r="P170" s="88">
        <f t="shared" si="98"/>
        <v>0</v>
      </c>
      <c r="Q170" s="88">
        <f t="shared" ref="Q170" si="99">hundred*Q101*$H59*Q88/$H45/days_in_year/(1+$H31)*PowerFactor</f>
        <v>0</v>
      </c>
      <c r="R170" s="69"/>
      <c r="S170" s="69"/>
      <c r="T170" s="69"/>
      <c r="U170" s="69"/>
      <c r="V170" s="69"/>
      <c r="W170" s="69"/>
      <c r="X170" s="69"/>
      <c r="Y170" s="69"/>
    </row>
    <row r="171" spans="3:25" x14ac:dyDescent="0.35">
      <c r="C171" s="78"/>
      <c r="F171" t="s">
        <v>199</v>
      </c>
      <c r="G171" t="s">
        <v>271</v>
      </c>
      <c r="J171" s="88">
        <f t="shared" ref="J171:K171" si="100">hundred*J102*$H60*J89/$H46/days_in_year/(1+$H32)*PowerFactor</f>
        <v>2.437025683803244</v>
      </c>
      <c r="K171" s="88">
        <f t="shared" si="100"/>
        <v>2.437025683803244</v>
      </c>
      <c r="L171" s="88">
        <f t="shared" ref="L171:M171" si="101">hundred*L102*$H60*L89/$H46/days_in_year/(1+$H32)*PowerFactor</f>
        <v>2.437025683803244</v>
      </c>
      <c r="M171" s="88">
        <f t="shared" si="101"/>
        <v>2.437025683803244</v>
      </c>
      <c r="N171" s="88">
        <f t="shared" ref="N171:P171" si="102">hundred*N102*$H60*N89/$H46/days_in_year/(1+$H32)*PowerFactor</f>
        <v>2.437025683803244</v>
      </c>
      <c r="O171" s="88">
        <f t="shared" si="102"/>
        <v>0</v>
      </c>
      <c r="P171" s="88">
        <f t="shared" si="102"/>
        <v>0</v>
      </c>
      <c r="Q171" s="88">
        <f t="shared" ref="Q171" si="103">hundred*Q102*$H60*Q89/$H46/days_in_year/(1+$H32)*PowerFactor</f>
        <v>0</v>
      </c>
      <c r="R171" s="69"/>
      <c r="S171" s="69"/>
      <c r="T171" s="69"/>
      <c r="U171" s="69"/>
      <c r="V171" s="69"/>
      <c r="W171" s="69"/>
      <c r="X171" s="69"/>
      <c r="Y171" s="69"/>
    </row>
    <row r="172" spans="3:25" x14ac:dyDescent="0.35">
      <c r="C172" s="78"/>
      <c r="F172" t="s">
        <v>375</v>
      </c>
      <c r="G172" t="s">
        <v>271</v>
      </c>
      <c r="J172" s="69"/>
      <c r="K172" s="69"/>
      <c r="L172" s="69"/>
      <c r="M172" s="69"/>
      <c r="N172" s="69"/>
      <c r="O172" s="69"/>
      <c r="P172" s="69"/>
      <c r="Q172" s="69"/>
      <c r="R172" s="69"/>
      <c r="S172" s="69"/>
      <c r="T172" s="69"/>
      <c r="U172" s="69"/>
      <c r="V172" s="69"/>
      <c r="W172" s="69"/>
      <c r="X172" s="69"/>
      <c r="Y172" s="69"/>
    </row>
    <row r="173" spans="3:25" x14ac:dyDescent="0.35">
      <c r="C173" s="78"/>
      <c r="F173" s="28" t="s">
        <v>376</v>
      </c>
      <c r="G173" s="28" t="s">
        <v>271</v>
      </c>
      <c r="H173" s="28"/>
      <c r="I173" s="28"/>
      <c r="J173" s="71"/>
      <c r="K173" s="71"/>
      <c r="L173" s="71"/>
      <c r="M173" s="71"/>
      <c r="N173" s="71"/>
      <c r="O173" s="71"/>
      <c r="P173" s="71"/>
      <c r="Q173" s="71"/>
      <c r="R173" s="71"/>
      <c r="S173" s="71"/>
      <c r="T173" s="71"/>
      <c r="U173" s="71"/>
      <c r="V173" s="71"/>
      <c r="W173" s="71"/>
      <c r="X173" s="71"/>
      <c r="Y173" s="71"/>
    </row>
    <row r="174" spans="3:25" x14ac:dyDescent="0.35">
      <c r="C174" s="78"/>
      <c r="D174"/>
      <c r="J174" s="79"/>
      <c r="K174" s="79"/>
      <c r="L174" s="79"/>
      <c r="M174" s="79"/>
      <c r="N174" s="79"/>
      <c r="O174" s="79"/>
      <c r="P174" s="79"/>
      <c r="Q174" s="79"/>
      <c r="R174" s="79"/>
      <c r="S174" s="79"/>
      <c r="T174" s="79"/>
      <c r="U174" s="79"/>
      <c r="V174" s="79"/>
      <c r="W174" s="79"/>
      <c r="X174" s="79"/>
      <c r="Y174" s="79"/>
    </row>
    <row r="175" spans="3:25" x14ac:dyDescent="0.35">
      <c r="C175" s="78"/>
      <c r="E175" s="27" t="s">
        <v>621</v>
      </c>
      <c r="J175" s="79"/>
      <c r="K175" s="79"/>
      <c r="L175" s="79"/>
      <c r="M175" s="79"/>
      <c r="N175" s="79"/>
      <c r="O175" s="79"/>
      <c r="P175" s="79"/>
      <c r="Q175" s="79"/>
      <c r="R175" s="79"/>
      <c r="S175" s="79"/>
      <c r="T175" s="79"/>
      <c r="U175" s="79"/>
      <c r="V175" s="79"/>
      <c r="W175" s="79"/>
      <c r="X175" s="79"/>
      <c r="Y175" s="79"/>
    </row>
    <row r="176" spans="3:25" x14ac:dyDescent="0.35">
      <c r="C176" s="78"/>
      <c r="F176" s="19" t="s">
        <v>189</v>
      </c>
      <c r="G176" s="19" t="s">
        <v>271</v>
      </c>
      <c r="H176" s="19"/>
      <c r="I176" s="19"/>
      <c r="J176" s="143">
        <f t="shared" ref="J176:K176" si="104">hundred*J94*$H65*J80/$H37/days_in_year/(1+$H23)*PowerFactor</f>
        <v>0</v>
      </c>
      <c r="K176" s="143">
        <f t="shared" si="104"/>
        <v>0</v>
      </c>
      <c r="L176" s="143">
        <f t="shared" ref="L176:M176" si="105">hundred*L94*$H65*L80/$H37/days_in_year/(1+$H23)*PowerFactor</f>
        <v>0</v>
      </c>
      <c r="M176" s="143">
        <f t="shared" si="105"/>
        <v>0</v>
      </c>
      <c r="N176" s="143">
        <f t="shared" ref="N176:P176" si="106">hundred*N94*$H65*N80/$H37/days_in_year/(1+$H23)*PowerFactor</f>
        <v>0</v>
      </c>
      <c r="O176" s="143">
        <f t="shared" si="106"/>
        <v>0</v>
      </c>
      <c r="P176" s="143">
        <f t="shared" si="106"/>
        <v>0</v>
      </c>
      <c r="Q176" s="143">
        <f t="shared" ref="Q176" si="107">hundred*Q94*$H65*Q80/$H37/days_in_year/(1+$H23)*PowerFactor</f>
        <v>0</v>
      </c>
      <c r="R176" s="73"/>
      <c r="S176" s="73"/>
      <c r="T176" s="73"/>
      <c r="U176" s="73"/>
      <c r="V176" s="73"/>
      <c r="W176" s="73"/>
      <c r="X176" s="73"/>
      <c r="Y176" s="73"/>
    </row>
    <row r="177" spans="3:27" x14ac:dyDescent="0.35">
      <c r="C177" s="78"/>
      <c r="F177" t="s">
        <v>191</v>
      </c>
      <c r="G177" t="s">
        <v>271</v>
      </c>
      <c r="J177" s="88">
        <f t="shared" ref="J177:K177" si="108">hundred*J94*$H66*J81/$H38/days_in_year/(1+$H24)*PowerFactor</f>
        <v>0</v>
      </c>
      <c r="K177" s="88">
        <f t="shared" si="108"/>
        <v>0</v>
      </c>
      <c r="L177" s="88">
        <f t="shared" ref="L177:M177" si="109">hundred*L94*$H66*L81/$H38/days_in_year/(1+$H24)*PowerFactor</f>
        <v>0</v>
      </c>
      <c r="M177" s="88">
        <f t="shared" si="109"/>
        <v>0</v>
      </c>
      <c r="N177" s="88">
        <f t="shared" ref="N177:P177" si="110">hundred*N94*$H66*N81/$H38/days_in_year/(1+$H24)*PowerFactor</f>
        <v>0</v>
      </c>
      <c r="O177" s="88">
        <f t="shared" si="110"/>
        <v>0</v>
      </c>
      <c r="P177" s="88">
        <f t="shared" si="110"/>
        <v>0</v>
      </c>
      <c r="Q177" s="88">
        <f t="shared" ref="Q177" si="111">hundred*Q94*$H66*Q81/$H38/days_in_year/(1+$H24)*PowerFactor</f>
        <v>0</v>
      </c>
      <c r="R177" s="69"/>
      <c r="S177" s="69"/>
      <c r="T177" s="69"/>
      <c r="U177" s="69"/>
      <c r="V177" s="69"/>
      <c r="W177" s="69"/>
      <c r="X177" s="69"/>
      <c r="Y177" s="69"/>
    </row>
    <row r="178" spans="3:27" x14ac:dyDescent="0.35">
      <c r="C178" s="78"/>
      <c r="F178" t="s">
        <v>192</v>
      </c>
      <c r="G178" t="s">
        <v>271</v>
      </c>
      <c r="J178" s="88">
        <f t="shared" ref="J178:K178" si="112">hundred*J95*$H67*J82/$H39/days_in_year/(1+$H25)*PowerFactor</f>
        <v>0</v>
      </c>
      <c r="K178" s="88">
        <f t="shared" si="112"/>
        <v>0</v>
      </c>
      <c r="L178" s="88">
        <f t="shared" ref="L178:M178" si="113">hundred*L95*$H67*L82/$H39/days_in_year/(1+$H25)*PowerFactor</f>
        <v>0</v>
      </c>
      <c r="M178" s="88">
        <f t="shared" si="113"/>
        <v>0</v>
      </c>
      <c r="N178" s="88">
        <f t="shared" ref="N178:P178" si="114">hundred*N95*$H67*N82/$H39/days_in_year/(1+$H25)*PowerFactor</f>
        <v>0</v>
      </c>
      <c r="O178" s="88">
        <f t="shared" si="114"/>
        <v>0</v>
      </c>
      <c r="P178" s="88">
        <f t="shared" si="114"/>
        <v>0</v>
      </c>
      <c r="Q178" s="88">
        <f t="shared" ref="Q178" si="115">hundred*Q95*$H67*Q82/$H39/days_in_year/(1+$H25)*PowerFactor</f>
        <v>0</v>
      </c>
      <c r="R178" s="69"/>
      <c r="S178" s="69"/>
      <c r="T178" s="69"/>
      <c r="U178" s="69"/>
      <c r="V178" s="69"/>
      <c r="W178" s="69"/>
      <c r="X178" s="69"/>
      <c r="Y178" s="69"/>
    </row>
    <row r="179" spans="3:27" x14ac:dyDescent="0.35">
      <c r="C179" s="78"/>
      <c r="F179" t="s">
        <v>193</v>
      </c>
      <c r="G179" t="s">
        <v>271</v>
      </c>
      <c r="J179" s="88">
        <f t="shared" ref="J179:K179" si="116">hundred*J96*$H68*J83/$H40/days_in_year/(1+$H26)*PowerFactor</f>
        <v>0</v>
      </c>
      <c r="K179" s="88">
        <f t="shared" si="116"/>
        <v>0</v>
      </c>
      <c r="L179" s="88">
        <f t="shared" ref="L179:M179" si="117">hundred*L96*$H68*L83/$H40/days_in_year/(1+$H26)*PowerFactor</f>
        <v>0</v>
      </c>
      <c r="M179" s="88">
        <f t="shared" si="117"/>
        <v>0</v>
      </c>
      <c r="N179" s="88">
        <f t="shared" ref="N179:P179" si="118">hundred*N96*$H68*N83/$H40/days_in_year/(1+$H26)*PowerFactor</f>
        <v>0</v>
      </c>
      <c r="O179" s="88">
        <f t="shared" si="118"/>
        <v>0</v>
      </c>
      <c r="P179" s="88">
        <f t="shared" si="118"/>
        <v>0</v>
      </c>
      <c r="Q179" s="88">
        <f t="shared" ref="Q179" si="119">hundred*Q96*$H68*Q83/$H40/days_in_year/(1+$H26)*PowerFactor</f>
        <v>0</v>
      </c>
      <c r="R179" s="69"/>
      <c r="S179" s="69"/>
      <c r="T179" s="69"/>
      <c r="U179" s="69"/>
      <c r="V179" s="69"/>
      <c r="W179" s="69"/>
      <c r="X179" s="69"/>
      <c r="Y179" s="69"/>
    </row>
    <row r="180" spans="3:27" x14ac:dyDescent="0.35">
      <c r="C180" s="78"/>
      <c r="F180" t="s">
        <v>194</v>
      </c>
      <c r="G180" t="s">
        <v>271</v>
      </c>
      <c r="J180" s="88">
        <f t="shared" ref="J180:K180" si="120">hundred*J97*$H69*J84/$H41/days_in_year/(1+$H27)*PowerFactor</f>
        <v>0</v>
      </c>
      <c r="K180" s="88">
        <f t="shared" si="120"/>
        <v>0</v>
      </c>
      <c r="L180" s="88">
        <f t="shared" ref="L180:M180" si="121">hundred*L97*$H69*L84/$H41/days_in_year/(1+$H27)*PowerFactor</f>
        <v>0</v>
      </c>
      <c r="M180" s="88">
        <f t="shared" si="121"/>
        <v>0</v>
      </c>
      <c r="N180" s="88">
        <f t="shared" ref="N180:P180" si="122">hundred*N97*$H69*N84/$H41/days_in_year/(1+$H27)*PowerFactor</f>
        <v>0</v>
      </c>
      <c r="O180" s="88">
        <f t="shared" si="122"/>
        <v>0</v>
      </c>
      <c r="P180" s="88">
        <f t="shared" si="122"/>
        <v>0.24021663669373225</v>
      </c>
      <c r="Q180" s="88">
        <f t="shared" ref="Q180" si="123">hundred*Q97*$H69*Q84/$H41/days_in_year/(1+$H27)*PowerFactor</f>
        <v>0</v>
      </c>
      <c r="R180" s="69"/>
      <c r="S180" s="69"/>
      <c r="T180" s="69"/>
      <c r="U180" s="69"/>
      <c r="V180" s="69"/>
      <c r="W180" s="69"/>
      <c r="X180" s="69"/>
      <c r="Y180" s="69"/>
    </row>
    <row r="181" spans="3:27" x14ac:dyDescent="0.35">
      <c r="C181" s="78"/>
      <c r="F181" t="s">
        <v>195</v>
      </c>
      <c r="G181" t="s">
        <v>271</v>
      </c>
      <c r="J181" s="88">
        <f t="shared" ref="J181:K181" si="124">hundred*J98*$H70*J85/$H42/days_in_year/(1+$H28)*PowerFactor</f>
        <v>0</v>
      </c>
      <c r="K181" s="88">
        <f t="shared" si="124"/>
        <v>0</v>
      </c>
      <c r="L181" s="88">
        <f t="shared" ref="L181:M181" si="125">hundred*L98*$H70*L85/$H42/days_in_year/(1+$H28)*PowerFactor</f>
        <v>0</v>
      </c>
      <c r="M181" s="88">
        <f t="shared" si="125"/>
        <v>0</v>
      </c>
      <c r="N181" s="88">
        <f t="shared" ref="N181:P181" si="126">hundred*N98*$H70*N85/$H42/days_in_year/(1+$H28)*PowerFactor</f>
        <v>0</v>
      </c>
      <c r="O181" s="88">
        <f t="shared" si="126"/>
        <v>0</v>
      </c>
      <c r="P181" s="88">
        <f t="shared" si="126"/>
        <v>0.84975693158491261</v>
      </c>
      <c r="Q181" s="88">
        <f t="shared" ref="Q181" si="127">hundred*Q98*$H70*Q85/$H42/days_in_year/(1+$H28)*PowerFactor</f>
        <v>0</v>
      </c>
      <c r="R181" s="69"/>
      <c r="S181" s="69"/>
      <c r="T181" s="69"/>
      <c r="U181" s="69"/>
      <c r="V181" s="69"/>
      <c r="W181" s="69"/>
      <c r="X181" s="69"/>
      <c r="Y181" s="69"/>
    </row>
    <row r="182" spans="3:27" x14ac:dyDescent="0.35">
      <c r="C182" s="78"/>
      <c r="F182" t="s">
        <v>196</v>
      </c>
      <c r="G182" t="s">
        <v>271</v>
      </c>
      <c r="J182" s="88">
        <f t="shared" ref="J182:K182" si="128">hundred*J99*$H71*J86/$H43/days_in_year/(1+$H29)*PowerFactor</f>
        <v>0</v>
      </c>
      <c r="K182" s="88">
        <f t="shared" si="128"/>
        <v>0</v>
      </c>
      <c r="L182" s="88">
        <f t="shared" ref="L182:M182" si="129">hundred*L99*$H71*L86/$H43/days_in_year/(1+$H29)*PowerFactor</f>
        <v>0</v>
      </c>
      <c r="M182" s="88">
        <f t="shared" si="129"/>
        <v>0</v>
      </c>
      <c r="N182" s="88">
        <f t="shared" ref="N182:P182" si="130">hundred*N99*$H71*N86/$H43/days_in_year/(1+$H29)*PowerFactor</f>
        <v>0</v>
      </c>
      <c r="O182" s="88">
        <f t="shared" si="130"/>
        <v>0</v>
      </c>
      <c r="P182" s="88">
        <f t="shared" si="130"/>
        <v>0</v>
      </c>
      <c r="Q182" s="88">
        <f t="shared" ref="Q182" si="131">hundred*Q99*$H71*Q86/$H43/days_in_year/(1+$H29)*PowerFactor</f>
        <v>0</v>
      </c>
      <c r="R182" s="69"/>
      <c r="S182" s="69"/>
      <c r="T182" s="69"/>
      <c r="U182" s="69"/>
      <c r="V182" s="69"/>
      <c r="W182" s="69"/>
      <c r="X182" s="69"/>
      <c r="Y182" s="69"/>
    </row>
    <row r="183" spans="3:27" x14ac:dyDescent="0.35">
      <c r="C183" s="78"/>
      <c r="F183" t="s">
        <v>197</v>
      </c>
      <c r="G183" t="s">
        <v>271</v>
      </c>
      <c r="J183" s="88">
        <f t="shared" ref="J183:K183" si="132">hundred*J100*$H72*J87/$H44/days_in_year/(1+$H30)*PowerFactor</f>
        <v>0</v>
      </c>
      <c r="K183" s="88">
        <f t="shared" si="132"/>
        <v>0</v>
      </c>
      <c r="L183" s="88">
        <f t="shared" ref="L183:M183" si="133">hundred*L100*$H72*L87/$H44/days_in_year/(1+$H30)*PowerFactor</f>
        <v>0</v>
      </c>
      <c r="M183" s="88">
        <f t="shared" si="133"/>
        <v>0</v>
      </c>
      <c r="N183" s="88">
        <f t="shared" ref="N183:P183" si="134">hundred*N100*$H72*N87/$H44/days_in_year/(1+$H30)*PowerFactor</f>
        <v>0.4261035377400359</v>
      </c>
      <c r="O183" s="88">
        <f t="shared" si="134"/>
        <v>2.0386513296461346</v>
      </c>
      <c r="P183" s="88">
        <f t="shared" si="134"/>
        <v>2.0073776755000767</v>
      </c>
      <c r="Q183" s="88">
        <f t="shared" ref="Q183" si="135">hundred*Q100*$H72*Q87/$H44/days_in_year/(1+$H30)*PowerFactor</f>
        <v>0</v>
      </c>
      <c r="R183" s="69"/>
      <c r="S183" s="69"/>
      <c r="T183" s="69"/>
      <c r="U183" s="69"/>
      <c r="V183" s="69"/>
      <c r="W183" s="69"/>
      <c r="X183" s="69"/>
      <c r="Y183" s="69"/>
    </row>
    <row r="184" spans="3:27" x14ac:dyDescent="0.35">
      <c r="C184" s="78"/>
      <c r="F184" t="s">
        <v>198</v>
      </c>
      <c r="G184" t="s">
        <v>271</v>
      </c>
      <c r="J184" s="88">
        <f t="shared" ref="J184:K184" si="136">hundred*J101*$H73*J88/$H45/days_in_year/(1+$H31)*PowerFactor</f>
        <v>0</v>
      </c>
      <c r="K184" s="88">
        <f t="shared" si="136"/>
        <v>0</v>
      </c>
      <c r="L184" s="88">
        <f t="shared" ref="L184:M184" si="137">hundred*L101*$H73*L88/$H45/days_in_year/(1+$H31)*PowerFactor</f>
        <v>0</v>
      </c>
      <c r="M184" s="88">
        <f t="shared" si="137"/>
        <v>0</v>
      </c>
      <c r="N184" s="88">
        <f t="shared" ref="N184:P184" si="138">hundred*N101*$H73*N88/$H45/days_in_year/(1+$H31)*PowerFactor</f>
        <v>0.81816855822695989</v>
      </c>
      <c r="O184" s="88">
        <f t="shared" si="138"/>
        <v>0.78288973048689825</v>
      </c>
      <c r="P184" s="88">
        <f t="shared" si="138"/>
        <v>0</v>
      </c>
      <c r="Q184" s="88">
        <f t="shared" ref="Q184" si="139">hundred*Q101*$H73*Q88/$H45/days_in_year/(1+$H31)*PowerFactor</f>
        <v>0</v>
      </c>
      <c r="R184" s="69"/>
      <c r="S184" s="69"/>
      <c r="T184" s="69"/>
      <c r="U184" s="69"/>
      <c r="V184" s="69"/>
      <c r="W184" s="69"/>
      <c r="X184" s="69"/>
      <c r="Y184" s="69"/>
    </row>
    <row r="185" spans="3:27" x14ac:dyDescent="0.35">
      <c r="C185" s="78"/>
      <c r="F185" t="s">
        <v>199</v>
      </c>
      <c r="G185" t="s">
        <v>271</v>
      </c>
      <c r="J185" s="88">
        <f t="shared" ref="J185:K185" si="140">hundred*J102*$H74*J89/$H46/days_in_year/(1+$H32)*PowerFactor</f>
        <v>1.623459995181769</v>
      </c>
      <c r="K185" s="88">
        <f t="shared" si="140"/>
        <v>1.623459995181769</v>
      </c>
      <c r="L185" s="88">
        <f t="shared" ref="L185:M185" si="141">hundred*L102*$H74*L89/$H46/days_in_year/(1+$H32)*PowerFactor</f>
        <v>1.623459995181769</v>
      </c>
      <c r="M185" s="88">
        <f t="shared" si="141"/>
        <v>1.623459995181769</v>
      </c>
      <c r="N185" s="88">
        <f t="shared" ref="N185:P185" si="142">hundred*N102*$H74*N89/$H46/days_in_year/(1+$H32)*PowerFactor</f>
        <v>1.623459995181769</v>
      </c>
      <c r="O185" s="88">
        <f t="shared" si="142"/>
        <v>0</v>
      </c>
      <c r="P185" s="88">
        <f t="shared" si="142"/>
        <v>0</v>
      </c>
      <c r="Q185" s="88">
        <f t="shared" ref="Q185" si="143">hundred*Q102*$H74*Q89/$H46/days_in_year/(1+$H32)*PowerFactor</f>
        <v>0</v>
      </c>
      <c r="R185" s="69"/>
      <c r="S185" s="69"/>
      <c r="T185" s="69"/>
      <c r="U185" s="69"/>
      <c r="V185" s="69"/>
      <c r="W185" s="69"/>
      <c r="X185" s="69"/>
      <c r="Y185" s="69"/>
    </row>
    <row r="186" spans="3:27" x14ac:dyDescent="0.35">
      <c r="C186" s="78"/>
      <c r="F186" t="s">
        <v>375</v>
      </c>
      <c r="G186" t="s">
        <v>271</v>
      </c>
      <c r="J186" s="69"/>
      <c r="K186" s="69"/>
      <c r="L186" s="69"/>
      <c r="M186" s="69"/>
      <c r="N186" s="69"/>
      <c r="O186" s="69"/>
      <c r="P186" s="69"/>
      <c r="Q186" s="69"/>
      <c r="R186" s="69"/>
      <c r="S186" s="69"/>
      <c r="T186" s="69"/>
      <c r="U186" s="69"/>
      <c r="V186" s="69"/>
      <c r="W186" s="69"/>
      <c r="X186" s="69"/>
      <c r="Y186" s="69"/>
    </row>
    <row r="187" spans="3:27" x14ac:dyDescent="0.35">
      <c r="C187" s="78"/>
      <c r="F187" s="28" t="s">
        <v>376</v>
      </c>
      <c r="G187" s="28" t="s">
        <v>271</v>
      </c>
      <c r="H187" s="28"/>
      <c r="I187" s="28"/>
      <c r="J187" s="71"/>
      <c r="K187" s="71"/>
      <c r="L187" s="71"/>
      <c r="M187" s="71"/>
      <c r="N187" s="71"/>
      <c r="O187" s="71"/>
      <c r="P187" s="71"/>
      <c r="Q187" s="71"/>
      <c r="R187" s="71"/>
      <c r="S187" s="71"/>
      <c r="T187" s="71"/>
      <c r="U187" s="71"/>
      <c r="V187" s="71"/>
      <c r="W187" s="71"/>
      <c r="X187" s="71"/>
      <c r="Y187" s="71"/>
    </row>
    <row r="188" spans="3:27" x14ac:dyDescent="0.35">
      <c r="C188" s="78"/>
      <c r="J188" s="79"/>
      <c r="K188" s="79"/>
      <c r="L188" s="79"/>
      <c r="M188" s="79"/>
      <c r="N188" s="79"/>
      <c r="O188" s="79"/>
      <c r="P188" s="79"/>
      <c r="Q188" s="79"/>
      <c r="R188" s="79"/>
      <c r="S188" s="79"/>
      <c r="T188" s="79"/>
      <c r="U188" s="79"/>
      <c r="V188" s="79"/>
      <c r="W188" s="79"/>
      <c r="X188" s="79"/>
      <c r="Y188" s="79"/>
    </row>
    <row r="189" spans="3:27" x14ac:dyDescent="0.35">
      <c r="C189" s="26" t="str">
        <f ca="1">INDEX('Version control'!$H$38:$H$61,MATCH($A$1,'Version control'!$F$38:$F$61,0),1)&amp;"-D: Capacity charges for eligible customers, by network level"</f>
        <v>Section 112-D: Capacity charges for eligible customers, by network level</v>
      </c>
      <c r="D189" s="26"/>
      <c r="E189" s="26"/>
      <c r="F189" s="26"/>
      <c r="G189" s="26"/>
      <c r="H189" s="26"/>
      <c r="I189" s="26"/>
      <c r="J189" s="80"/>
      <c r="K189" s="80"/>
      <c r="L189" s="80"/>
      <c r="M189" s="80"/>
      <c r="N189" s="80"/>
      <c r="O189" s="80"/>
      <c r="P189" s="80"/>
      <c r="Q189" s="80"/>
      <c r="R189" s="80"/>
      <c r="S189" s="80"/>
      <c r="T189" s="80"/>
      <c r="U189" s="80"/>
      <c r="V189" s="80"/>
      <c r="W189" s="80"/>
      <c r="X189" s="80"/>
      <c r="Y189" s="80"/>
      <c r="Z189" s="26"/>
      <c r="AA189" s="26"/>
    </row>
    <row r="190" spans="3:27" x14ac:dyDescent="0.35">
      <c r="D190" s="27"/>
      <c r="E190" s="27"/>
      <c r="I190" t="s">
        <v>154</v>
      </c>
      <c r="J190" s="79"/>
      <c r="K190" s="79"/>
      <c r="L190" s="79"/>
      <c r="M190" s="79"/>
      <c r="N190" s="79"/>
      <c r="O190" s="79"/>
      <c r="P190" s="79"/>
      <c r="Q190" s="79"/>
      <c r="R190" s="79"/>
      <c r="S190" s="79"/>
      <c r="T190" s="79"/>
      <c r="U190" s="79"/>
      <c r="V190" s="79"/>
      <c r="W190" s="79"/>
      <c r="X190" s="79"/>
      <c r="Y190" s="79"/>
      <c r="AA190" t="s">
        <v>704</v>
      </c>
    </row>
    <row r="191" spans="3:27" x14ac:dyDescent="0.35">
      <c r="C191" s="78"/>
      <c r="D191"/>
      <c r="E191" s="27" t="s">
        <v>620</v>
      </c>
      <c r="J191" s="79"/>
      <c r="K191" s="79"/>
      <c r="L191" s="79"/>
      <c r="M191" s="79"/>
      <c r="N191" s="79"/>
      <c r="O191" s="79"/>
      <c r="P191" s="79"/>
      <c r="Q191" s="79"/>
      <c r="R191" s="79"/>
      <c r="S191" s="79"/>
      <c r="T191" s="79"/>
      <c r="U191" s="79"/>
      <c r="V191" s="79"/>
      <c r="W191" s="79"/>
      <c r="X191" s="79"/>
      <c r="Y191" s="79"/>
    </row>
    <row r="192" spans="3:27" x14ac:dyDescent="0.35">
      <c r="C192" s="78"/>
      <c r="D192"/>
      <c r="F192" s="19" t="s">
        <v>189</v>
      </c>
      <c r="G192" s="19" t="s">
        <v>271</v>
      </c>
      <c r="H192" s="19"/>
      <c r="I192" s="19"/>
      <c r="J192" s="73"/>
      <c r="K192" s="73"/>
      <c r="L192" s="73"/>
      <c r="M192" s="73"/>
      <c r="N192" s="73"/>
      <c r="O192" s="73"/>
      <c r="P192" s="73"/>
      <c r="Q192" s="73"/>
      <c r="R192" s="73"/>
      <c r="S192" s="73"/>
      <c r="T192" s="73"/>
      <c r="U192" s="73"/>
      <c r="V192" s="73"/>
      <c r="W192" s="73"/>
      <c r="X192" s="73"/>
      <c r="Y192" s="73"/>
    </row>
    <row r="193" spans="3:25" x14ac:dyDescent="0.35">
      <c r="C193" s="78"/>
      <c r="D193"/>
      <c r="F193" t="s">
        <v>191</v>
      </c>
      <c r="G193" t="s">
        <v>271</v>
      </c>
      <c r="J193" s="69"/>
      <c r="K193" s="69"/>
      <c r="L193" s="69"/>
      <c r="M193" s="69"/>
      <c r="N193" s="69"/>
      <c r="O193" s="69"/>
      <c r="P193" s="69"/>
      <c r="Q193" s="69"/>
      <c r="R193" s="69"/>
      <c r="S193" s="69"/>
      <c r="T193" s="69"/>
      <c r="U193" s="69"/>
      <c r="V193" s="69"/>
      <c r="W193" s="69"/>
      <c r="X193" s="69"/>
      <c r="Y193" s="69"/>
    </row>
    <row r="194" spans="3:25" x14ac:dyDescent="0.35">
      <c r="C194" s="78"/>
      <c r="D194"/>
      <c r="F194" t="s">
        <v>192</v>
      </c>
      <c r="G194" t="s">
        <v>271</v>
      </c>
      <c r="J194" s="88">
        <f t="shared" ref="J194:K194" si="144">J$121 * J134</f>
        <v>0</v>
      </c>
      <c r="K194" s="88">
        <f t="shared" si="144"/>
        <v>0</v>
      </c>
      <c r="L194" s="88">
        <f t="shared" ref="L194:M194" si="145">L$121 * L134</f>
        <v>0</v>
      </c>
      <c r="M194" s="88">
        <f t="shared" si="145"/>
        <v>0</v>
      </c>
      <c r="N194" s="88">
        <f t="shared" ref="N194:P194" si="146">N$121 * N134</f>
        <v>0</v>
      </c>
      <c r="O194" s="88">
        <f t="shared" si="146"/>
        <v>0</v>
      </c>
      <c r="P194" s="88">
        <f t="shared" si="146"/>
        <v>0</v>
      </c>
      <c r="Q194" s="88">
        <f t="shared" ref="Q194" si="147">Q$121 * Q134</f>
        <v>0</v>
      </c>
      <c r="R194" s="69"/>
      <c r="S194" s="69"/>
      <c r="T194" s="69"/>
      <c r="U194" s="69"/>
      <c r="V194" s="69"/>
      <c r="W194" s="69"/>
      <c r="X194" s="69"/>
      <c r="Y194" s="69"/>
    </row>
    <row r="195" spans="3:25" x14ac:dyDescent="0.35">
      <c r="C195" s="78"/>
      <c r="D195"/>
      <c r="F195" t="s">
        <v>193</v>
      </c>
      <c r="G195" t="s">
        <v>271</v>
      </c>
      <c r="J195" s="88">
        <f t="shared" ref="J195:K195" si="148">J$121 * J135</f>
        <v>0</v>
      </c>
      <c r="K195" s="88">
        <f t="shared" si="148"/>
        <v>0</v>
      </c>
      <c r="L195" s="88">
        <f t="shared" ref="L195:M195" si="149">L$121 * L135</f>
        <v>0</v>
      </c>
      <c r="M195" s="88">
        <f t="shared" si="149"/>
        <v>0</v>
      </c>
      <c r="N195" s="88">
        <f t="shared" ref="N195:P195" si="150">N$121 * N135</f>
        <v>0</v>
      </c>
      <c r="O195" s="88">
        <f t="shared" si="150"/>
        <v>0</v>
      </c>
      <c r="P195" s="88">
        <f t="shared" si="150"/>
        <v>0</v>
      </c>
      <c r="Q195" s="88">
        <f t="shared" ref="Q195" si="151">Q$121 * Q135</f>
        <v>0</v>
      </c>
      <c r="R195" s="69"/>
      <c r="S195" s="69"/>
      <c r="T195" s="69"/>
      <c r="U195" s="69"/>
      <c r="V195" s="69"/>
      <c r="W195" s="69"/>
      <c r="X195" s="69"/>
      <c r="Y195" s="69"/>
    </row>
    <row r="196" spans="3:25" x14ac:dyDescent="0.35">
      <c r="C196" s="78"/>
      <c r="D196"/>
      <c r="F196" t="s">
        <v>194</v>
      </c>
      <c r="G196" t="s">
        <v>271</v>
      </c>
      <c r="J196" s="88">
        <f t="shared" ref="J196:K196" si="152">J$121 * J136</f>
        <v>0</v>
      </c>
      <c r="K196" s="88">
        <f t="shared" si="152"/>
        <v>0</v>
      </c>
      <c r="L196" s="88">
        <f t="shared" ref="L196:M196" si="153">L$121 * L136</f>
        <v>0</v>
      </c>
      <c r="M196" s="88">
        <f t="shared" si="153"/>
        <v>0</v>
      </c>
      <c r="N196" s="88">
        <f t="shared" ref="N196:P196" si="154">N$121 * N136</f>
        <v>0</v>
      </c>
      <c r="O196" s="88">
        <f t="shared" si="154"/>
        <v>0</v>
      </c>
      <c r="P196" s="88">
        <f t="shared" si="154"/>
        <v>0.348144906328681</v>
      </c>
      <c r="Q196" s="88">
        <f t="shared" ref="Q196" si="155">Q$121 * Q136</f>
        <v>0</v>
      </c>
      <c r="R196" s="69"/>
      <c r="S196" s="69"/>
      <c r="T196" s="69"/>
      <c r="U196" s="69"/>
      <c r="V196" s="69"/>
      <c r="W196" s="69"/>
      <c r="X196" s="69"/>
      <c r="Y196" s="69"/>
    </row>
    <row r="197" spans="3:25" x14ac:dyDescent="0.35">
      <c r="C197" s="78"/>
      <c r="D197"/>
      <c r="F197" t="s">
        <v>195</v>
      </c>
      <c r="G197" t="s">
        <v>271</v>
      </c>
      <c r="J197" s="88">
        <f t="shared" ref="J197:K197" si="156">J$121 * J137</f>
        <v>0</v>
      </c>
      <c r="K197" s="88">
        <f t="shared" si="156"/>
        <v>0</v>
      </c>
      <c r="L197" s="88">
        <f t="shared" ref="L197:M197" si="157">L$121 * L137</f>
        <v>0</v>
      </c>
      <c r="M197" s="88">
        <f t="shared" si="157"/>
        <v>0</v>
      </c>
      <c r="N197" s="88">
        <f t="shared" ref="N197:P197" si="158">N$121 * N137</f>
        <v>0</v>
      </c>
      <c r="O197" s="88">
        <f t="shared" si="158"/>
        <v>0</v>
      </c>
      <c r="P197" s="88">
        <f t="shared" si="158"/>
        <v>1.1909208694498854</v>
      </c>
      <c r="Q197" s="88">
        <f t="shared" ref="Q197" si="159">Q$121 * Q137</f>
        <v>0</v>
      </c>
      <c r="R197" s="69"/>
      <c r="S197" s="69"/>
      <c r="T197" s="69"/>
      <c r="U197" s="69"/>
      <c r="V197" s="69"/>
      <c r="W197" s="69"/>
      <c r="X197" s="69"/>
      <c r="Y197" s="69"/>
    </row>
    <row r="198" spans="3:25" x14ac:dyDescent="0.35">
      <c r="C198" s="78"/>
      <c r="D198"/>
      <c r="F198" t="s">
        <v>196</v>
      </c>
      <c r="G198" t="s">
        <v>271</v>
      </c>
      <c r="J198" s="88">
        <f t="shared" ref="J198:K198" si="160">J$121 * J138</f>
        <v>0</v>
      </c>
      <c r="K198" s="88">
        <f t="shared" si="160"/>
        <v>0</v>
      </c>
      <c r="L198" s="88">
        <f t="shared" ref="L198:M198" si="161">L$121 * L138</f>
        <v>0</v>
      </c>
      <c r="M198" s="88">
        <f t="shared" si="161"/>
        <v>0</v>
      </c>
      <c r="N198" s="88">
        <f t="shared" ref="N198:P198" si="162">N$121 * N138</f>
        <v>0</v>
      </c>
      <c r="O198" s="88">
        <f t="shared" si="162"/>
        <v>0</v>
      </c>
      <c r="P198" s="88">
        <f t="shared" si="162"/>
        <v>0</v>
      </c>
      <c r="Q198" s="88">
        <f t="shared" ref="Q198" si="163">Q$121 * Q138</f>
        <v>0</v>
      </c>
      <c r="R198" s="69"/>
      <c r="S198" s="69"/>
      <c r="T198" s="69"/>
      <c r="U198" s="69"/>
      <c r="V198" s="69"/>
      <c r="W198" s="69"/>
      <c r="X198" s="69"/>
      <c r="Y198" s="69"/>
    </row>
    <row r="199" spans="3:25" x14ac:dyDescent="0.35">
      <c r="C199" s="78"/>
      <c r="D199"/>
      <c r="F199" t="s">
        <v>197</v>
      </c>
      <c r="G199" t="s">
        <v>271</v>
      </c>
      <c r="J199" s="88">
        <f t="shared" ref="J199:K199" si="164">J$121 * J139</f>
        <v>0</v>
      </c>
      <c r="K199" s="88">
        <f t="shared" si="164"/>
        <v>0</v>
      </c>
      <c r="L199" s="88">
        <f t="shared" ref="L199:M199" si="165">L$121 * L139</f>
        <v>0</v>
      </c>
      <c r="M199" s="88">
        <f t="shared" si="165"/>
        <v>0</v>
      </c>
      <c r="N199" s="88">
        <f t="shared" ref="N199:P199" si="166">N$121 * N139</f>
        <v>0.4197303103496583</v>
      </c>
      <c r="O199" s="88">
        <f t="shared" si="166"/>
        <v>2.0081592371316219</v>
      </c>
      <c r="P199" s="88">
        <f t="shared" si="166"/>
        <v>1.8585273702455114</v>
      </c>
      <c r="Q199" s="88">
        <f t="shared" ref="Q199" si="167">Q$121 * Q139</f>
        <v>0</v>
      </c>
      <c r="R199" s="69"/>
      <c r="S199" s="69"/>
      <c r="T199" s="69"/>
      <c r="U199" s="69"/>
      <c r="V199" s="69"/>
      <c r="W199" s="69"/>
      <c r="X199" s="69"/>
      <c r="Y199" s="69"/>
    </row>
    <row r="200" spans="3:25" x14ac:dyDescent="0.35">
      <c r="C200" s="78"/>
      <c r="D200"/>
      <c r="F200" t="s">
        <v>198</v>
      </c>
      <c r="G200" t="s">
        <v>271</v>
      </c>
      <c r="J200" s="88">
        <f t="shared" ref="J200:K200" si="168">J$121 * J140</f>
        <v>0</v>
      </c>
      <c r="K200" s="88">
        <f t="shared" si="168"/>
        <v>0</v>
      </c>
      <c r="L200" s="88">
        <f t="shared" ref="L200:M200" si="169">L$121 * L140</f>
        <v>0</v>
      </c>
      <c r="M200" s="88">
        <f t="shared" si="169"/>
        <v>0</v>
      </c>
      <c r="N200" s="88">
        <f t="shared" ref="N200:P200" si="170">N$121 * N140</f>
        <v>0.70802035538067287</v>
      </c>
      <c r="O200" s="88">
        <f t="shared" si="170"/>
        <v>0.67749103730462534</v>
      </c>
      <c r="P200" s="88">
        <f t="shared" si="170"/>
        <v>0</v>
      </c>
      <c r="Q200" s="88">
        <f t="shared" ref="Q200" si="171">Q$121 * Q140</f>
        <v>0</v>
      </c>
      <c r="R200" s="69"/>
      <c r="S200" s="69"/>
      <c r="T200" s="69"/>
      <c r="U200" s="69"/>
      <c r="V200" s="69"/>
      <c r="W200" s="69"/>
      <c r="X200" s="69"/>
      <c r="Y200" s="69"/>
    </row>
    <row r="201" spans="3:25" x14ac:dyDescent="0.35">
      <c r="C201" s="78"/>
      <c r="D201"/>
      <c r="F201" t="s">
        <v>199</v>
      </c>
      <c r="G201" t="s">
        <v>271</v>
      </c>
      <c r="J201" s="88">
        <f t="shared" ref="J201:K201" si="172">J$121 * J141</f>
        <v>0</v>
      </c>
      <c r="K201" s="88">
        <f t="shared" si="172"/>
        <v>0</v>
      </c>
      <c r="L201" s="88">
        <f t="shared" ref="L201:M201" si="173">L$121 * L141</f>
        <v>0</v>
      </c>
      <c r="M201" s="88">
        <f t="shared" si="173"/>
        <v>0</v>
      </c>
      <c r="N201" s="88">
        <f t="shared" ref="N201:P201" si="174">N$121 * N141</f>
        <v>0.10733470520721861</v>
      </c>
      <c r="O201" s="88">
        <f t="shared" si="174"/>
        <v>0</v>
      </c>
      <c r="P201" s="88">
        <f t="shared" si="174"/>
        <v>0</v>
      </c>
      <c r="Q201" s="88">
        <f t="shared" ref="Q201" si="175">Q$121 * Q141</f>
        <v>0</v>
      </c>
      <c r="R201" s="69"/>
      <c r="S201" s="69"/>
      <c r="T201" s="69"/>
      <c r="U201" s="69"/>
      <c r="V201" s="69"/>
      <c r="W201" s="69"/>
      <c r="X201" s="69"/>
      <c r="Y201" s="69"/>
    </row>
    <row r="202" spans="3:25" x14ac:dyDescent="0.35">
      <c r="C202" s="78"/>
      <c r="D202"/>
      <c r="F202" t="s">
        <v>375</v>
      </c>
      <c r="G202" t="s">
        <v>271</v>
      </c>
      <c r="J202" s="69"/>
      <c r="K202" s="69"/>
      <c r="L202" s="69"/>
      <c r="M202" s="69"/>
      <c r="N202" s="69"/>
      <c r="O202" s="69"/>
      <c r="P202" s="69"/>
      <c r="Q202" s="69"/>
      <c r="R202" s="69"/>
      <c r="S202" s="69"/>
      <c r="T202" s="69"/>
      <c r="U202" s="69"/>
      <c r="V202" s="69"/>
      <c r="W202" s="69"/>
      <c r="X202" s="69"/>
      <c r="Y202" s="69"/>
    </row>
    <row r="203" spans="3:25" x14ac:dyDescent="0.35">
      <c r="C203" s="78"/>
      <c r="D203"/>
      <c r="F203" s="28" t="s">
        <v>376</v>
      </c>
      <c r="G203" s="28" t="s">
        <v>271</v>
      </c>
      <c r="H203" s="28"/>
      <c r="I203" s="28"/>
      <c r="J203" s="71"/>
      <c r="K203" s="71"/>
      <c r="L203" s="71"/>
      <c r="M203" s="71"/>
      <c r="N203" s="71"/>
      <c r="O203" s="71"/>
      <c r="P203" s="71"/>
      <c r="Q203" s="71"/>
      <c r="R203" s="71"/>
      <c r="S203" s="71"/>
      <c r="T203" s="71"/>
      <c r="U203" s="71"/>
      <c r="V203" s="71"/>
      <c r="W203" s="71"/>
      <c r="X203" s="71"/>
      <c r="Y203" s="71"/>
    </row>
    <row r="204" spans="3:25" x14ac:dyDescent="0.35">
      <c r="C204" s="78"/>
      <c r="D204"/>
      <c r="J204" s="79"/>
      <c r="K204" s="79"/>
      <c r="L204" s="79"/>
      <c r="M204" s="79"/>
      <c r="N204" s="79"/>
      <c r="O204" s="79"/>
      <c r="P204" s="79"/>
      <c r="Q204" s="79"/>
      <c r="R204" s="79"/>
      <c r="S204" s="79"/>
      <c r="T204" s="79"/>
      <c r="U204" s="79"/>
      <c r="V204" s="79"/>
      <c r="W204" s="79"/>
      <c r="X204" s="79"/>
      <c r="Y204" s="79"/>
    </row>
    <row r="205" spans="3:25" x14ac:dyDescent="0.35">
      <c r="C205" s="78"/>
      <c r="D205"/>
      <c r="E205" s="27" t="s">
        <v>621</v>
      </c>
      <c r="J205" s="79"/>
      <c r="K205" s="79"/>
      <c r="L205" s="79"/>
      <c r="M205" s="79"/>
      <c r="N205" s="79"/>
      <c r="O205" s="79"/>
      <c r="P205" s="79"/>
      <c r="Q205" s="79"/>
      <c r="R205" s="79"/>
      <c r="S205" s="79"/>
      <c r="T205" s="79"/>
      <c r="U205" s="79"/>
      <c r="V205" s="79"/>
      <c r="W205" s="79"/>
      <c r="X205" s="79"/>
      <c r="Y205" s="79"/>
    </row>
    <row r="206" spans="3:25" x14ac:dyDescent="0.35">
      <c r="C206" s="78"/>
      <c r="D206"/>
      <c r="F206" s="19" t="s">
        <v>189</v>
      </c>
      <c r="G206" s="19" t="s">
        <v>271</v>
      </c>
      <c r="H206" s="19"/>
      <c r="I206" s="19"/>
      <c r="J206" s="143">
        <f t="shared" ref="J206:K206" si="176">J$121 * J146</f>
        <v>0</v>
      </c>
      <c r="K206" s="143">
        <f t="shared" si="176"/>
        <v>0</v>
      </c>
      <c r="L206" s="143">
        <f t="shared" ref="L206:M206" si="177">L$121 * L146</f>
        <v>0</v>
      </c>
      <c r="M206" s="143">
        <f t="shared" si="177"/>
        <v>0</v>
      </c>
      <c r="N206" s="143">
        <f t="shared" ref="N206:P206" si="178">N$121 * N146</f>
        <v>0</v>
      </c>
      <c r="O206" s="143">
        <f t="shared" si="178"/>
        <v>0</v>
      </c>
      <c r="P206" s="143">
        <f t="shared" si="178"/>
        <v>0</v>
      </c>
      <c r="Q206" s="143">
        <f t="shared" ref="Q206" si="179">Q$121 * Q146</f>
        <v>0</v>
      </c>
      <c r="R206" s="73"/>
      <c r="S206" s="73"/>
      <c r="T206" s="73"/>
      <c r="U206" s="73"/>
      <c r="V206" s="73"/>
      <c r="W206" s="73"/>
      <c r="X206" s="73"/>
      <c r="Y206" s="73"/>
    </row>
    <row r="207" spans="3:25" x14ac:dyDescent="0.35">
      <c r="C207" s="78"/>
      <c r="D207"/>
      <c r="F207" t="s">
        <v>191</v>
      </c>
      <c r="G207" t="s">
        <v>271</v>
      </c>
      <c r="J207" s="88">
        <f t="shared" ref="J207:K207" si="180">J$121 * J147</f>
        <v>0</v>
      </c>
      <c r="K207" s="88">
        <f t="shared" si="180"/>
        <v>0</v>
      </c>
      <c r="L207" s="88">
        <f t="shared" ref="L207:M207" si="181">L$121 * L147</f>
        <v>0</v>
      </c>
      <c r="M207" s="88">
        <f t="shared" si="181"/>
        <v>0</v>
      </c>
      <c r="N207" s="88">
        <f t="shared" ref="N207:P207" si="182">N$121 * N147</f>
        <v>0</v>
      </c>
      <c r="O207" s="88">
        <f t="shared" si="182"/>
        <v>0</v>
      </c>
      <c r="P207" s="88">
        <f t="shared" si="182"/>
        <v>0</v>
      </c>
      <c r="Q207" s="88">
        <f t="shared" ref="Q207" si="183">Q$121 * Q147</f>
        <v>0</v>
      </c>
      <c r="R207" s="69"/>
      <c r="S207" s="69"/>
      <c r="T207" s="69"/>
      <c r="U207" s="69"/>
      <c r="V207" s="69"/>
      <c r="W207" s="69"/>
      <c r="X207" s="69"/>
      <c r="Y207" s="69"/>
    </row>
    <row r="208" spans="3:25" x14ac:dyDescent="0.35">
      <c r="C208" s="78"/>
      <c r="D208"/>
      <c r="F208" t="s">
        <v>192</v>
      </c>
      <c r="G208" t="s">
        <v>271</v>
      </c>
      <c r="J208" s="88">
        <f t="shared" ref="J208:K208" si="184">J$121 * J148</f>
        <v>0</v>
      </c>
      <c r="K208" s="88">
        <f t="shared" si="184"/>
        <v>0</v>
      </c>
      <c r="L208" s="88">
        <f t="shared" ref="L208:M208" si="185">L$121 * L148</f>
        <v>0</v>
      </c>
      <c r="M208" s="88">
        <f t="shared" si="185"/>
        <v>0</v>
      </c>
      <c r="N208" s="88">
        <f t="shared" ref="N208:P208" si="186">N$121 * N148</f>
        <v>0</v>
      </c>
      <c r="O208" s="88">
        <f t="shared" si="186"/>
        <v>0</v>
      </c>
      <c r="P208" s="88">
        <f t="shared" si="186"/>
        <v>0</v>
      </c>
      <c r="Q208" s="88">
        <f t="shared" ref="Q208" si="187">Q$121 * Q148</f>
        <v>0</v>
      </c>
      <c r="R208" s="69"/>
      <c r="S208" s="69"/>
      <c r="T208" s="69"/>
      <c r="U208" s="69"/>
      <c r="V208" s="69"/>
      <c r="W208" s="69"/>
      <c r="X208" s="69"/>
      <c r="Y208" s="69"/>
    </row>
    <row r="209" spans="3:27" x14ac:dyDescent="0.35">
      <c r="C209" s="78"/>
      <c r="D209"/>
      <c r="F209" t="s">
        <v>193</v>
      </c>
      <c r="G209" t="s">
        <v>271</v>
      </c>
      <c r="J209" s="88">
        <f t="shared" ref="J209:K209" si="188">J$121 * J149</f>
        <v>0</v>
      </c>
      <c r="K209" s="88">
        <f t="shared" si="188"/>
        <v>0</v>
      </c>
      <c r="L209" s="88">
        <f t="shared" ref="L209:M209" si="189">L$121 * L149</f>
        <v>0</v>
      </c>
      <c r="M209" s="88">
        <f t="shared" si="189"/>
        <v>0</v>
      </c>
      <c r="N209" s="88">
        <f t="shared" ref="N209:P209" si="190">N$121 * N149</f>
        <v>0</v>
      </c>
      <c r="O209" s="88">
        <f t="shared" si="190"/>
        <v>0</v>
      </c>
      <c r="P209" s="88">
        <f t="shared" si="190"/>
        <v>0</v>
      </c>
      <c r="Q209" s="88">
        <f t="shared" ref="Q209" si="191">Q$121 * Q149</f>
        <v>0</v>
      </c>
      <c r="R209" s="69"/>
      <c r="S209" s="69"/>
      <c r="T209" s="69"/>
      <c r="U209" s="69"/>
      <c r="V209" s="69"/>
      <c r="W209" s="69"/>
      <c r="X209" s="69"/>
      <c r="Y209" s="69"/>
    </row>
    <row r="210" spans="3:27" x14ac:dyDescent="0.35">
      <c r="C210" s="78"/>
      <c r="D210"/>
      <c r="F210" t="s">
        <v>194</v>
      </c>
      <c r="G210" t="s">
        <v>271</v>
      </c>
      <c r="J210" s="88">
        <f t="shared" ref="J210:K210" si="192">J$121 * J150</f>
        <v>0</v>
      </c>
      <c r="K210" s="88">
        <f t="shared" si="192"/>
        <v>0</v>
      </c>
      <c r="L210" s="88">
        <f t="shared" ref="L210:M210" si="193">L$121 * L150</f>
        <v>0</v>
      </c>
      <c r="M210" s="88">
        <f t="shared" si="193"/>
        <v>0</v>
      </c>
      <c r="N210" s="88">
        <f t="shared" ref="N210:P210" si="194">N$121 * N150</f>
        <v>0</v>
      </c>
      <c r="O210" s="88">
        <f t="shared" si="194"/>
        <v>0</v>
      </c>
      <c r="P210" s="88">
        <f t="shared" si="194"/>
        <v>0.24021663669373225</v>
      </c>
      <c r="Q210" s="88">
        <f t="shared" ref="Q210" si="195">Q$121 * Q150</f>
        <v>0</v>
      </c>
      <c r="R210" s="69"/>
      <c r="S210" s="69"/>
      <c r="T210" s="69"/>
      <c r="U210" s="69"/>
      <c r="V210" s="69"/>
      <c r="W210" s="69"/>
      <c r="X210" s="69"/>
      <c r="Y210" s="69"/>
    </row>
    <row r="211" spans="3:27" x14ac:dyDescent="0.35">
      <c r="C211" s="78"/>
      <c r="D211"/>
      <c r="F211" t="s">
        <v>195</v>
      </c>
      <c r="G211" t="s">
        <v>271</v>
      </c>
      <c r="J211" s="88">
        <f t="shared" ref="J211:K211" si="196">J$121 * J151</f>
        <v>0</v>
      </c>
      <c r="K211" s="88">
        <f t="shared" si="196"/>
        <v>0</v>
      </c>
      <c r="L211" s="88">
        <f t="shared" ref="L211:M211" si="197">L$121 * L151</f>
        <v>0</v>
      </c>
      <c r="M211" s="88">
        <f t="shared" si="197"/>
        <v>0</v>
      </c>
      <c r="N211" s="88">
        <f t="shared" ref="N211:P211" si="198">N$121 * N151</f>
        <v>0</v>
      </c>
      <c r="O211" s="88">
        <f t="shared" si="198"/>
        <v>0</v>
      </c>
      <c r="P211" s="88">
        <f t="shared" si="198"/>
        <v>0.84975693158491261</v>
      </c>
      <c r="Q211" s="88">
        <f t="shared" ref="Q211" si="199">Q$121 * Q151</f>
        <v>0</v>
      </c>
      <c r="R211" s="69"/>
      <c r="S211" s="69"/>
      <c r="T211" s="69"/>
      <c r="U211" s="69"/>
      <c r="V211" s="69"/>
      <c r="W211" s="69"/>
      <c r="X211" s="69"/>
      <c r="Y211" s="69"/>
    </row>
    <row r="212" spans="3:27" x14ac:dyDescent="0.35">
      <c r="C212" s="78"/>
      <c r="D212"/>
      <c r="F212" t="s">
        <v>196</v>
      </c>
      <c r="G212" t="s">
        <v>271</v>
      </c>
      <c r="J212" s="88">
        <f t="shared" ref="J212:K212" si="200">J$121 * J152</f>
        <v>0</v>
      </c>
      <c r="K212" s="88">
        <f t="shared" si="200"/>
        <v>0</v>
      </c>
      <c r="L212" s="88">
        <f t="shared" ref="L212:M212" si="201">L$121 * L152</f>
        <v>0</v>
      </c>
      <c r="M212" s="88">
        <f t="shared" si="201"/>
        <v>0</v>
      </c>
      <c r="N212" s="88">
        <f t="shared" ref="N212:P212" si="202">N$121 * N152</f>
        <v>0</v>
      </c>
      <c r="O212" s="88">
        <f t="shared" si="202"/>
        <v>0</v>
      </c>
      <c r="P212" s="88">
        <f t="shared" si="202"/>
        <v>0</v>
      </c>
      <c r="Q212" s="88">
        <f t="shared" ref="Q212" si="203">Q$121 * Q152</f>
        <v>0</v>
      </c>
      <c r="R212" s="69"/>
      <c r="S212" s="69"/>
      <c r="T212" s="69"/>
      <c r="U212" s="69"/>
      <c r="V212" s="69"/>
      <c r="W212" s="69"/>
      <c r="X212" s="69"/>
      <c r="Y212" s="69"/>
    </row>
    <row r="213" spans="3:27" x14ac:dyDescent="0.35">
      <c r="C213" s="78"/>
      <c r="D213"/>
      <c r="F213" t="s">
        <v>197</v>
      </c>
      <c r="G213" t="s">
        <v>271</v>
      </c>
      <c r="J213" s="88">
        <f t="shared" ref="J213:K213" si="204">J$121 * J153</f>
        <v>0</v>
      </c>
      <c r="K213" s="88">
        <f t="shared" si="204"/>
        <v>0</v>
      </c>
      <c r="L213" s="88">
        <f t="shared" ref="L213:M213" si="205">L$121 * L153</f>
        <v>0</v>
      </c>
      <c r="M213" s="88">
        <f t="shared" si="205"/>
        <v>0</v>
      </c>
      <c r="N213" s="88">
        <f t="shared" ref="N213:P213" si="206">N$121 * N153</f>
        <v>0.4261035377400359</v>
      </c>
      <c r="O213" s="88">
        <f t="shared" si="206"/>
        <v>2.0386513296461346</v>
      </c>
      <c r="P213" s="88">
        <f t="shared" si="206"/>
        <v>2.0073776755000767</v>
      </c>
      <c r="Q213" s="88">
        <f t="shared" ref="Q213" si="207">Q$121 * Q153</f>
        <v>0</v>
      </c>
      <c r="R213" s="69"/>
      <c r="S213" s="69"/>
      <c r="T213" s="69"/>
      <c r="U213" s="69"/>
      <c r="V213" s="69"/>
      <c r="W213" s="69"/>
      <c r="X213" s="69"/>
      <c r="Y213" s="69"/>
    </row>
    <row r="214" spans="3:27" x14ac:dyDescent="0.35">
      <c r="C214" s="78"/>
      <c r="D214"/>
      <c r="F214" t="s">
        <v>198</v>
      </c>
      <c r="G214" t="s">
        <v>271</v>
      </c>
      <c r="J214" s="88">
        <f t="shared" ref="J214:K214" si="208">J$121 * J154</f>
        <v>0</v>
      </c>
      <c r="K214" s="88">
        <f t="shared" si="208"/>
        <v>0</v>
      </c>
      <c r="L214" s="88">
        <f t="shared" ref="L214:M214" si="209">L$121 * L154</f>
        <v>0</v>
      </c>
      <c r="M214" s="88">
        <f t="shared" si="209"/>
        <v>0</v>
      </c>
      <c r="N214" s="88">
        <f t="shared" ref="N214:P214" si="210">N$121 * N154</f>
        <v>0.81816855822695989</v>
      </c>
      <c r="O214" s="88">
        <f t="shared" si="210"/>
        <v>0.78288973048689825</v>
      </c>
      <c r="P214" s="88">
        <f t="shared" si="210"/>
        <v>0</v>
      </c>
      <c r="Q214" s="88">
        <f t="shared" ref="Q214" si="211">Q$121 * Q154</f>
        <v>0</v>
      </c>
      <c r="R214" s="69"/>
      <c r="S214" s="69"/>
      <c r="T214" s="69"/>
      <c r="U214" s="69"/>
      <c r="V214" s="69"/>
      <c r="W214" s="69"/>
      <c r="X214" s="69"/>
      <c r="Y214" s="69"/>
    </row>
    <row r="215" spans="3:27" x14ac:dyDescent="0.35">
      <c r="C215" s="78"/>
      <c r="D215"/>
      <c r="F215" t="s">
        <v>199</v>
      </c>
      <c r="G215" t="s">
        <v>271</v>
      </c>
      <c r="J215" s="88">
        <f t="shared" ref="J215:K215" si="212">J$121 * J155</f>
        <v>0</v>
      </c>
      <c r="K215" s="88">
        <f t="shared" si="212"/>
        <v>0</v>
      </c>
      <c r="L215" s="88">
        <f t="shared" ref="L215:M215" si="213">L$121 * L155</f>
        <v>0</v>
      </c>
      <c r="M215" s="88">
        <f t="shared" si="213"/>
        <v>0</v>
      </c>
      <c r="N215" s="88">
        <f t="shared" ref="N215:P215" si="214">N$121 * N155</f>
        <v>1.623459995181769</v>
      </c>
      <c r="O215" s="88">
        <f t="shared" si="214"/>
        <v>0</v>
      </c>
      <c r="P215" s="88">
        <f t="shared" si="214"/>
        <v>0</v>
      </c>
      <c r="Q215" s="88">
        <f t="shared" ref="Q215" si="215">Q$121 * Q155</f>
        <v>0</v>
      </c>
      <c r="R215" s="69"/>
      <c r="S215" s="69"/>
      <c r="T215" s="69"/>
      <c r="U215" s="69"/>
      <c r="V215" s="69"/>
      <c r="W215" s="69"/>
      <c r="X215" s="69"/>
      <c r="Y215" s="69"/>
    </row>
    <row r="216" spans="3:27" x14ac:dyDescent="0.35">
      <c r="C216" s="78"/>
      <c r="D216"/>
      <c r="F216" t="s">
        <v>375</v>
      </c>
      <c r="G216" t="s">
        <v>271</v>
      </c>
      <c r="J216" s="69"/>
      <c r="K216" s="69"/>
      <c r="L216" s="69"/>
      <c r="M216" s="69"/>
      <c r="N216" s="69"/>
      <c r="O216" s="69"/>
      <c r="P216" s="69"/>
      <c r="Q216" s="69"/>
      <c r="R216" s="69"/>
      <c r="S216" s="69"/>
      <c r="T216" s="69"/>
      <c r="U216" s="69"/>
      <c r="V216" s="69"/>
      <c r="W216" s="69"/>
      <c r="X216" s="69"/>
      <c r="Y216" s="69"/>
    </row>
    <row r="217" spans="3:27" x14ac:dyDescent="0.35">
      <c r="C217" s="78"/>
      <c r="D217"/>
      <c r="F217" s="28" t="s">
        <v>376</v>
      </c>
      <c r="G217" s="28" t="s">
        <v>271</v>
      </c>
      <c r="H217" s="28"/>
      <c r="I217" s="28"/>
      <c r="J217" s="71"/>
      <c r="K217" s="71"/>
      <c r="L217" s="71"/>
      <c r="M217" s="71"/>
      <c r="N217" s="71"/>
      <c r="O217" s="71"/>
      <c r="P217" s="71"/>
      <c r="Q217" s="71"/>
      <c r="R217" s="71"/>
      <c r="S217" s="71"/>
      <c r="T217" s="71"/>
      <c r="U217" s="71"/>
      <c r="V217" s="71"/>
      <c r="W217" s="71"/>
      <c r="X217" s="71"/>
      <c r="Y217" s="71"/>
    </row>
    <row r="218" spans="3:27" x14ac:dyDescent="0.35">
      <c r="C218" s="78"/>
      <c r="J218" s="79"/>
      <c r="K218" s="79"/>
      <c r="L218" s="79"/>
      <c r="M218" s="79"/>
      <c r="N218" s="79"/>
      <c r="O218" s="79"/>
      <c r="P218" s="79"/>
      <c r="Q218" s="79"/>
      <c r="R218" s="79"/>
      <c r="S218" s="79"/>
      <c r="T218" s="79"/>
      <c r="U218" s="79"/>
      <c r="V218" s="79"/>
      <c r="W218" s="79"/>
      <c r="X218" s="79"/>
      <c r="Y218" s="79"/>
    </row>
    <row r="219" spans="3:27" x14ac:dyDescent="0.35">
      <c r="C219" s="26" t="str">
        <f ca="1">INDEX('Version control'!$H$38:$H$61,MATCH($A$1,'Version control'!$F$38:$F$61,0),1)&amp;"-E: Exceeded capacity charges for eligible customers, by network level"</f>
        <v>Section 112-E: Exceeded capacity charges for eligible customers, by network level</v>
      </c>
      <c r="D219" s="26"/>
      <c r="E219" s="26"/>
      <c r="F219" s="26"/>
      <c r="G219" s="26"/>
      <c r="H219" s="26"/>
      <c r="I219" s="26"/>
      <c r="J219" s="80"/>
      <c r="K219" s="80"/>
      <c r="L219" s="80"/>
      <c r="M219" s="80"/>
      <c r="N219" s="80"/>
      <c r="O219" s="80"/>
      <c r="P219" s="80"/>
      <c r="Q219" s="80"/>
      <c r="R219" s="80"/>
      <c r="S219" s="80"/>
      <c r="T219" s="80"/>
      <c r="U219" s="80"/>
      <c r="V219" s="80"/>
      <c r="W219" s="80"/>
      <c r="X219" s="80"/>
      <c r="Y219" s="80"/>
      <c r="Z219" s="26"/>
      <c r="AA219" s="26"/>
    </row>
    <row r="220" spans="3:27" x14ac:dyDescent="0.35">
      <c r="D220" s="27"/>
      <c r="E220" s="27"/>
      <c r="I220" t="s">
        <v>154</v>
      </c>
      <c r="J220" s="79"/>
      <c r="K220" s="79"/>
      <c r="L220" s="79"/>
      <c r="M220" s="79"/>
      <c r="N220" s="79"/>
      <c r="O220" s="79"/>
      <c r="P220" s="79"/>
      <c r="Q220" s="79"/>
      <c r="R220" s="79"/>
      <c r="S220" s="79"/>
      <c r="T220" s="79"/>
      <c r="U220" s="79"/>
      <c r="V220" s="79"/>
      <c r="W220" s="79"/>
      <c r="X220" s="79"/>
      <c r="Y220" s="79"/>
      <c r="AA220" t="s">
        <v>705</v>
      </c>
    </row>
    <row r="221" spans="3:27" x14ac:dyDescent="0.35">
      <c r="C221" s="78"/>
      <c r="D221"/>
      <c r="E221" s="27" t="s">
        <v>620</v>
      </c>
      <c r="J221" s="79"/>
      <c r="K221" s="79"/>
      <c r="L221" s="79"/>
      <c r="M221" s="79"/>
      <c r="N221" s="79"/>
      <c r="O221" s="79"/>
      <c r="P221" s="79"/>
      <c r="Q221" s="79"/>
      <c r="R221" s="79"/>
      <c r="S221" s="79"/>
      <c r="T221" s="79"/>
      <c r="U221" s="79"/>
      <c r="V221" s="79"/>
      <c r="W221" s="79"/>
      <c r="X221" s="79"/>
      <c r="Y221" s="79"/>
    </row>
    <row r="222" spans="3:27" x14ac:dyDescent="0.35">
      <c r="C222" s="78"/>
      <c r="D222"/>
      <c r="F222" s="19" t="s">
        <v>189</v>
      </c>
      <c r="G222" s="19" t="s">
        <v>271</v>
      </c>
      <c r="H222" s="19"/>
      <c r="I222" s="19"/>
      <c r="J222" s="73"/>
      <c r="K222" s="73"/>
      <c r="L222" s="73"/>
      <c r="M222" s="73"/>
      <c r="N222" s="73"/>
      <c r="O222" s="73"/>
      <c r="P222" s="73"/>
      <c r="Q222" s="73"/>
      <c r="R222" s="73"/>
      <c r="S222" s="73"/>
      <c r="T222" s="73"/>
      <c r="U222" s="73"/>
      <c r="V222" s="73"/>
      <c r="W222" s="73"/>
      <c r="X222" s="73"/>
      <c r="Y222" s="73"/>
    </row>
    <row r="223" spans="3:27" x14ac:dyDescent="0.35">
      <c r="C223" s="78"/>
      <c r="D223"/>
      <c r="F223" t="s">
        <v>191</v>
      </c>
      <c r="G223" t="s">
        <v>271</v>
      </c>
      <c r="J223" s="69"/>
      <c r="K223" s="69"/>
      <c r="L223" s="69"/>
      <c r="M223" s="69"/>
      <c r="N223" s="69"/>
      <c r="O223" s="69"/>
      <c r="P223" s="69"/>
      <c r="Q223" s="69"/>
      <c r="R223" s="69"/>
      <c r="S223" s="69"/>
      <c r="T223" s="69"/>
      <c r="U223" s="69"/>
      <c r="V223" s="69"/>
      <c r="W223" s="69"/>
      <c r="X223" s="69"/>
      <c r="Y223" s="69"/>
    </row>
    <row r="224" spans="3:27" x14ac:dyDescent="0.35">
      <c r="C224" s="78"/>
      <c r="D224"/>
      <c r="F224" t="s">
        <v>192</v>
      </c>
      <c r="G224" t="s">
        <v>271</v>
      </c>
      <c r="J224" s="88">
        <f t="shared" ref="J224:K224" si="216">J$122 * J164</f>
        <v>0</v>
      </c>
      <c r="K224" s="88">
        <f t="shared" si="216"/>
        <v>0</v>
      </c>
      <c r="L224" s="88">
        <f t="shared" ref="L224:M224" si="217">L$122 * L164</f>
        <v>0</v>
      </c>
      <c r="M224" s="88">
        <f t="shared" si="217"/>
        <v>0</v>
      </c>
      <c r="N224" s="88">
        <f t="shared" ref="N224:P224" si="218">N$122 * N164</f>
        <v>0</v>
      </c>
      <c r="O224" s="88">
        <f t="shared" si="218"/>
        <v>0</v>
      </c>
      <c r="P224" s="88">
        <f t="shared" si="218"/>
        <v>0</v>
      </c>
      <c r="Q224" s="88">
        <f t="shared" ref="Q224" si="219">Q$122 * Q164</f>
        <v>0</v>
      </c>
      <c r="R224" s="69"/>
      <c r="S224" s="69"/>
      <c r="T224" s="69"/>
      <c r="U224" s="69"/>
      <c r="V224" s="69"/>
      <c r="W224" s="69"/>
      <c r="X224" s="69"/>
      <c r="Y224" s="69"/>
    </row>
    <row r="225" spans="3:25" x14ac:dyDescent="0.35">
      <c r="C225" s="78"/>
      <c r="D225"/>
      <c r="F225" t="s">
        <v>193</v>
      </c>
      <c r="G225" t="s">
        <v>271</v>
      </c>
      <c r="J225" s="88">
        <f t="shared" ref="J225:K225" si="220">J$122 * J165</f>
        <v>0</v>
      </c>
      <c r="K225" s="88">
        <f t="shared" si="220"/>
        <v>0</v>
      </c>
      <c r="L225" s="88">
        <f t="shared" ref="L225:M225" si="221">L$122 * L165</f>
        <v>0</v>
      </c>
      <c r="M225" s="88">
        <f t="shared" si="221"/>
        <v>0</v>
      </c>
      <c r="N225" s="88">
        <f t="shared" ref="N225:P225" si="222">N$122 * N165</f>
        <v>0</v>
      </c>
      <c r="O225" s="88">
        <f t="shared" si="222"/>
        <v>0</v>
      </c>
      <c r="P225" s="88">
        <f t="shared" si="222"/>
        <v>0</v>
      </c>
      <c r="Q225" s="88">
        <f t="shared" ref="Q225" si="223">Q$122 * Q165</f>
        <v>0</v>
      </c>
      <c r="R225" s="69"/>
      <c r="S225" s="69"/>
      <c r="T225" s="69"/>
      <c r="U225" s="69"/>
      <c r="V225" s="69"/>
      <c r="W225" s="69"/>
      <c r="X225" s="69"/>
      <c r="Y225" s="69"/>
    </row>
    <row r="226" spans="3:25" x14ac:dyDescent="0.35">
      <c r="C226" s="78"/>
      <c r="D226"/>
      <c r="F226" t="s">
        <v>194</v>
      </c>
      <c r="G226" t="s">
        <v>271</v>
      </c>
      <c r="J226" s="88">
        <f t="shared" ref="J226:K226" si="224">J$122 * J166</f>
        <v>0</v>
      </c>
      <c r="K226" s="88">
        <f t="shared" si="224"/>
        <v>0</v>
      </c>
      <c r="L226" s="88">
        <f t="shared" ref="L226:M226" si="225">L$122 * L166</f>
        <v>0</v>
      </c>
      <c r="M226" s="88">
        <f t="shared" si="225"/>
        <v>0</v>
      </c>
      <c r="N226" s="88">
        <f t="shared" ref="N226:P226" si="226">N$122 * N166</f>
        <v>0</v>
      </c>
      <c r="O226" s="88">
        <f t="shared" si="226"/>
        <v>0</v>
      </c>
      <c r="P226" s="88">
        <f t="shared" si="226"/>
        <v>0.36059657462265526</v>
      </c>
      <c r="Q226" s="88">
        <f t="shared" ref="Q226" si="227">Q$122 * Q166</f>
        <v>0</v>
      </c>
      <c r="R226" s="69"/>
      <c r="S226" s="69"/>
      <c r="T226" s="69"/>
      <c r="U226" s="69"/>
      <c r="V226" s="69"/>
      <c r="W226" s="69"/>
      <c r="X226" s="69"/>
      <c r="Y226" s="69"/>
    </row>
    <row r="227" spans="3:25" x14ac:dyDescent="0.35">
      <c r="C227" s="78"/>
      <c r="D227"/>
      <c r="F227" t="s">
        <v>195</v>
      </c>
      <c r="G227" t="s">
        <v>271</v>
      </c>
      <c r="J227" s="88">
        <f t="shared" ref="J227:K227" si="228">J$122 * J167</f>
        <v>0</v>
      </c>
      <c r="K227" s="88">
        <f t="shared" si="228"/>
        <v>0</v>
      </c>
      <c r="L227" s="88">
        <f t="shared" ref="L227:M227" si="229">L$122 * L167</f>
        <v>0</v>
      </c>
      <c r="M227" s="88">
        <f t="shared" si="229"/>
        <v>0</v>
      </c>
      <c r="N227" s="88">
        <f t="shared" ref="N227:P227" si="230">N$122 * N167</f>
        <v>0</v>
      </c>
      <c r="O227" s="88">
        <f t="shared" si="230"/>
        <v>0</v>
      </c>
      <c r="P227" s="88">
        <f t="shared" si="230"/>
        <v>1.2755962409966282</v>
      </c>
      <c r="Q227" s="88">
        <f t="shared" ref="Q227" si="231">Q$122 * Q167</f>
        <v>0</v>
      </c>
      <c r="R227" s="69"/>
      <c r="S227" s="69"/>
      <c r="T227" s="69"/>
      <c r="U227" s="69"/>
      <c r="V227" s="69"/>
      <c r="W227" s="69"/>
      <c r="X227" s="69"/>
      <c r="Y227" s="69"/>
    </row>
    <row r="228" spans="3:25" x14ac:dyDescent="0.35">
      <c r="C228" s="78"/>
      <c r="D228"/>
      <c r="F228" t="s">
        <v>196</v>
      </c>
      <c r="G228" t="s">
        <v>271</v>
      </c>
      <c r="J228" s="88">
        <f t="shared" ref="J228:K228" si="232">J$122 * J168</f>
        <v>0</v>
      </c>
      <c r="K228" s="88">
        <f t="shared" si="232"/>
        <v>0</v>
      </c>
      <c r="L228" s="88">
        <f t="shared" ref="L228:M228" si="233">L$122 * L168</f>
        <v>0</v>
      </c>
      <c r="M228" s="88">
        <f t="shared" si="233"/>
        <v>0</v>
      </c>
      <c r="N228" s="88">
        <f t="shared" ref="N228:P228" si="234">N$122 * N168</f>
        <v>0</v>
      </c>
      <c r="O228" s="88">
        <f t="shared" si="234"/>
        <v>0</v>
      </c>
      <c r="P228" s="88">
        <f t="shared" si="234"/>
        <v>0</v>
      </c>
      <c r="Q228" s="88">
        <f t="shared" ref="Q228" si="235">Q$122 * Q168</f>
        <v>0</v>
      </c>
      <c r="R228" s="69"/>
      <c r="S228" s="69"/>
      <c r="T228" s="69"/>
      <c r="U228" s="69"/>
      <c r="V228" s="69"/>
      <c r="W228" s="69"/>
      <c r="X228" s="69"/>
      <c r="Y228" s="69"/>
    </row>
    <row r="229" spans="3:25" x14ac:dyDescent="0.35">
      <c r="C229" s="78"/>
      <c r="D229"/>
      <c r="F229" t="s">
        <v>197</v>
      </c>
      <c r="G229" t="s">
        <v>271</v>
      </c>
      <c r="J229" s="88">
        <f t="shared" ref="J229:K229" si="236">J$122 * J169</f>
        <v>0</v>
      </c>
      <c r="K229" s="88">
        <f t="shared" si="236"/>
        <v>0</v>
      </c>
      <c r="L229" s="88">
        <f t="shared" ref="L229:M229" si="237">L$122 * L169</f>
        <v>0</v>
      </c>
      <c r="M229" s="88">
        <f t="shared" si="237"/>
        <v>0</v>
      </c>
      <c r="N229" s="88">
        <f t="shared" ref="N229:P229" si="238">N$122 * N169</f>
        <v>0.63963711364235143</v>
      </c>
      <c r="O229" s="88">
        <f t="shared" si="238"/>
        <v>3.0602821538026261</v>
      </c>
      <c r="P229" s="88">
        <f t="shared" si="238"/>
        <v>3.013336310599517</v>
      </c>
      <c r="Q229" s="88">
        <f t="shared" ref="Q229" si="239">Q$122 * Q169</f>
        <v>0</v>
      </c>
      <c r="R229" s="69"/>
      <c r="S229" s="69"/>
      <c r="T229" s="69"/>
      <c r="U229" s="69"/>
      <c r="V229" s="69"/>
      <c r="W229" s="69"/>
      <c r="X229" s="69"/>
      <c r="Y229" s="69"/>
    </row>
    <row r="230" spans="3:25" x14ac:dyDescent="0.35">
      <c r="C230" s="78"/>
      <c r="D230"/>
      <c r="F230" t="s">
        <v>198</v>
      </c>
      <c r="G230" t="s">
        <v>271</v>
      </c>
      <c r="J230" s="88">
        <f t="shared" ref="J230:K230" si="240">J$122 * J170</f>
        <v>0</v>
      </c>
      <c r="K230" s="88">
        <f t="shared" si="240"/>
        <v>0</v>
      </c>
      <c r="L230" s="88">
        <f t="shared" ref="L230:M230" si="241">L$122 * L170</f>
        <v>0</v>
      </c>
      <c r="M230" s="88">
        <f t="shared" si="241"/>
        <v>0</v>
      </c>
      <c r="N230" s="88">
        <f t="shared" ref="N230:P230" si="242">N$122 * N170</f>
        <v>1.2281779631139766</v>
      </c>
      <c r="O230" s="88">
        <f t="shared" si="242"/>
        <v>1.1752198307595207</v>
      </c>
      <c r="P230" s="88">
        <f t="shared" si="242"/>
        <v>0</v>
      </c>
      <c r="Q230" s="88">
        <f t="shared" ref="Q230" si="243">Q$122 * Q170</f>
        <v>0</v>
      </c>
      <c r="R230" s="69"/>
      <c r="S230" s="69"/>
      <c r="T230" s="69"/>
      <c r="U230" s="69"/>
      <c r="V230" s="69"/>
      <c r="W230" s="69"/>
      <c r="X230" s="69"/>
      <c r="Y230" s="69"/>
    </row>
    <row r="231" spans="3:25" x14ac:dyDescent="0.35">
      <c r="C231" s="78"/>
      <c r="D231"/>
      <c r="F231" t="s">
        <v>199</v>
      </c>
      <c r="G231" t="s">
        <v>271</v>
      </c>
      <c r="J231" s="88">
        <f t="shared" ref="J231:K231" si="244">J$122 * J171</f>
        <v>0</v>
      </c>
      <c r="K231" s="88">
        <f t="shared" si="244"/>
        <v>0</v>
      </c>
      <c r="L231" s="88">
        <f t="shared" ref="L231:M231" si="245">L$122 * L171</f>
        <v>0</v>
      </c>
      <c r="M231" s="88">
        <f t="shared" si="245"/>
        <v>0</v>
      </c>
      <c r="N231" s="88">
        <f t="shared" ref="N231:P231" si="246">N$122 * N171</f>
        <v>2.437025683803244</v>
      </c>
      <c r="O231" s="88">
        <f t="shared" si="246"/>
        <v>0</v>
      </c>
      <c r="P231" s="88">
        <f t="shared" si="246"/>
        <v>0</v>
      </c>
      <c r="Q231" s="88">
        <f t="shared" ref="Q231" si="247">Q$122 * Q171</f>
        <v>0</v>
      </c>
      <c r="R231" s="69"/>
      <c r="S231" s="69"/>
      <c r="T231" s="69"/>
      <c r="U231" s="69"/>
      <c r="V231" s="69"/>
      <c r="W231" s="69"/>
      <c r="X231" s="69"/>
      <c r="Y231" s="69"/>
    </row>
    <row r="232" spans="3:25" x14ac:dyDescent="0.35">
      <c r="C232" s="78"/>
      <c r="D232"/>
      <c r="F232" t="s">
        <v>375</v>
      </c>
      <c r="G232" t="s">
        <v>271</v>
      </c>
      <c r="J232" s="69"/>
      <c r="K232" s="69"/>
      <c r="L232" s="69"/>
      <c r="M232" s="69"/>
      <c r="N232" s="69"/>
      <c r="O232" s="69"/>
      <c r="P232" s="69"/>
      <c r="Q232" s="69"/>
      <c r="R232" s="69"/>
      <c r="S232" s="69"/>
      <c r="T232" s="69"/>
      <c r="U232" s="69"/>
      <c r="V232" s="69"/>
      <c r="W232" s="69"/>
      <c r="X232" s="69"/>
      <c r="Y232" s="69"/>
    </row>
    <row r="233" spans="3:25" x14ac:dyDescent="0.35">
      <c r="C233" s="78"/>
      <c r="D233"/>
      <c r="F233" s="28" t="s">
        <v>376</v>
      </c>
      <c r="G233" s="28" t="s">
        <v>271</v>
      </c>
      <c r="H233" s="28"/>
      <c r="I233" s="28"/>
      <c r="J233" s="71"/>
      <c r="K233" s="71"/>
      <c r="L233" s="71"/>
      <c r="M233" s="71"/>
      <c r="N233" s="71"/>
      <c r="O233" s="71"/>
      <c r="P233" s="71"/>
      <c r="Q233" s="71"/>
      <c r="R233" s="71"/>
      <c r="S233" s="71"/>
      <c r="T233" s="71"/>
      <c r="U233" s="71"/>
      <c r="V233" s="71"/>
      <c r="W233" s="71"/>
      <c r="X233" s="71"/>
      <c r="Y233" s="71"/>
    </row>
    <row r="234" spans="3:25" x14ac:dyDescent="0.35">
      <c r="C234" s="78"/>
      <c r="D234"/>
      <c r="J234" s="79"/>
      <c r="K234" s="79"/>
      <c r="L234" s="79"/>
      <c r="M234" s="79"/>
      <c r="N234" s="79"/>
      <c r="O234" s="79"/>
      <c r="P234" s="79"/>
      <c r="Q234" s="79"/>
      <c r="R234" s="79"/>
      <c r="S234" s="79"/>
      <c r="T234" s="79"/>
      <c r="U234" s="79"/>
      <c r="V234" s="79"/>
      <c r="W234" s="79"/>
      <c r="X234" s="79"/>
      <c r="Y234" s="79"/>
    </row>
    <row r="235" spans="3:25" x14ac:dyDescent="0.35">
      <c r="C235" s="78"/>
      <c r="D235"/>
      <c r="E235" s="27" t="s">
        <v>621</v>
      </c>
      <c r="J235" s="79"/>
      <c r="K235" s="79"/>
      <c r="L235" s="79"/>
      <c r="M235" s="79"/>
      <c r="N235" s="79"/>
      <c r="O235" s="79"/>
      <c r="P235" s="79"/>
      <c r="Q235" s="79"/>
      <c r="R235" s="79"/>
      <c r="S235" s="79"/>
      <c r="T235" s="79"/>
      <c r="U235" s="79"/>
      <c r="V235" s="79"/>
      <c r="W235" s="79"/>
      <c r="X235" s="79"/>
      <c r="Y235" s="79"/>
    </row>
    <row r="236" spans="3:25" x14ac:dyDescent="0.35">
      <c r="C236" s="78"/>
      <c r="D236"/>
      <c r="F236" s="19" t="s">
        <v>189</v>
      </c>
      <c r="G236" s="19" t="s">
        <v>271</v>
      </c>
      <c r="H236" s="19"/>
      <c r="I236" s="19"/>
      <c r="J236" s="116">
        <f t="shared" ref="J236:K236" si="248">J$122 * J176</f>
        <v>0</v>
      </c>
      <c r="K236" s="116">
        <f t="shared" si="248"/>
        <v>0</v>
      </c>
      <c r="L236" s="116">
        <f t="shared" ref="L236:M236" si="249">L$122 * L176</f>
        <v>0</v>
      </c>
      <c r="M236" s="116">
        <f t="shared" si="249"/>
        <v>0</v>
      </c>
      <c r="N236" s="116">
        <f t="shared" ref="N236:P236" si="250">N$122 * N176</f>
        <v>0</v>
      </c>
      <c r="O236" s="116">
        <f t="shared" si="250"/>
        <v>0</v>
      </c>
      <c r="P236" s="116">
        <f t="shared" si="250"/>
        <v>0</v>
      </c>
      <c r="Q236" s="116">
        <f t="shared" ref="Q236" si="251">Q$122 * Q176</f>
        <v>0</v>
      </c>
      <c r="R236" s="73"/>
      <c r="S236" s="73"/>
      <c r="T236" s="73"/>
      <c r="U236" s="73"/>
      <c r="V236" s="73"/>
      <c r="W236" s="73"/>
      <c r="X236" s="73"/>
      <c r="Y236" s="73"/>
    </row>
    <row r="237" spans="3:25" x14ac:dyDescent="0.35">
      <c r="C237" s="78"/>
      <c r="D237"/>
      <c r="F237" t="s">
        <v>191</v>
      </c>
      <c r="G237" t="s">
        <v>271</v>
      </c>
      <c r="J237" s="88">
        <f t="shared" ref="J237:K237" si="252">J$122 * J177</f>
        <v>0</v>
      </c>
      <c r="K237" s="88">
        <f t="shared" si="252"/>
        <v>0</v>
      </c>
      <c r="L237" s="88">
        <f t="shared" ref="L237:M237" si="253">L$122 * L177</f>
        <v>0</v>
      </c>
      <c r="M237" s="88">
        <f t="shared" si="253"/>
        <v>0</v>
      </c>
      <c r="N237" s="88">
        <f t="shared" ref="N237:P237" si="254">N$122 * N177</f>
        <v>0</v>
      </c>
      <c r="O237" s="88">
        <f t="shared" si="254"/>
        <v>0</v>
      </c>
      <c r="P237" s="88">
        <f t="shared" si="254"/>
        <v>0</v>
      </c>
      <c r="Q237" s="88">
        <f t="shared" ref="Q237" si="255">Q$122 * Q177</f>
        <v>0</v>
      </c>
      <c r="R237" s="69"/>
      <c r="S237" s="69"/>
      <c r="T237" s="69"/>
      <c r="U237" s="69"/>
      <c r="V237" s="69"/>
      <c r="W237" s="69"/>
      <c r="X237" s="69"/>
      <c r="Y237" s="69"/>
    </row>
    <row r="238" spans="3:25" x14ac:dyDescent="0.35">
      <c r="C238" s="78"/>
      <c r="D238"/>
      <c r="F238" t="s">
        <v>192</v>
      </c>
      <c r="G238" t="s">
        <v>271</v>
      </c>
      <c r="J238" s="88">
        <f t="shared" ref="J238:K238" si="256">J$122 * J178</f>
        <v>0</v>
      </c>
      <c r="K238" s="88">
        <f t="shared" si="256"/>
        <v>0</v>
      </c>
      <c r="L238" s="88">
        <f t="shared" ref="L238:M238" si="257">L$122 * L178</f>
        <v>0</v>
      </c>
      <c r="M238" s="88">
        <f t="shared" si="257"/>
        <v>0</v>
      </c>
      <c r="N238" s="88">
        <f t="shared" ref="N238:P238" si="258">N$122 * N178</f>
        <v>0</v>
      </c>
      <c r="O238" s="88">
        <f t="shared" si="258"/>
        <v>0</v>
      </c>
      <c r="P238" s="88">
        <f t="shared" si="258"/>
        <v>0</v>
      </c>
      <c r="Q238" s="88">
        <f t="shared" ref="Q238" si="259">Q$122 * Q178</f>
        <v>0</v>
      </c>
      <c r="R238" s="69"/>
      <c r="S238" s="69"/>
      <c r="T238" s="69"/>
      <c r="U238" s="69"/>
      <c r="V238" s="69"/>
      <c r="W238" s="69"/>
      <c r="X238" s="69"/>
      <c r="Y238" s="69"/>
    </row>
    <row r="239" spans="3:25" x14ac:dyDescent="0.35">
      <c r="C239" s="78"/>
      <c r="D239"/>
      <c r="F239" t="s">
        <v>193</v>
      </c>
      <c r="G239" t="s">
        <v>271</v>
      </c>
      <c r="J239" s="88">
        <f t="shared" ref="J239:K239" si="260">J$122 * J179</f>
        <v>0</v>
      </c>
      <c r="K239" s="88">
        <f t="shared" si="260"/>
        <v>0</v>
      </c>
      <c r="L239" s="88">
        <f t="shared" ref="L239:M239" si="261">L$122 * L179</f>
        <v>0</v>
      </c>
      <c r="M239" s="88">
        <f t="shared" si="261"/>
        <v>0</v>
      </c>
      <c r="N239" s="88">
        <f t="shared" ref="N239:P239" si="262">N$122 * N179</f>
        <v>0</v>
      </c>
      <c r="O239" s="88">
        <f t="shared" si="262"/>
        <v>0</v>
      </c>
      <c r="P239" s="88">
        <f t="shared" si="262"/>
        <v>0</v>
      </c>
      <c r="Q239" s="88">
        <f t="shared" ref="Q239" si="263">Q$122 * Q179</f>
        <v>0</v>
      </c>
      <c r="R239" s="69"/>
      <c r="S239" s="69"/>
      <c r="T239" s="69"/>
      <c r="U239" s="69"/>
      <c r="V239" s="69"/>
      <c r="W239" s="69"/>
      <c r="X239" s="69"/>
      <c r="Y239" s="69"/>
    </row>
    <row r="240" spans="3:25" x14ac:dyDescent="0.35">
      <c r="C240" s="78"/>
      <c r="D240"/>
      <c r="F240" t="s">
        <v>194</v>
      </c>
      <c r="G240" t="s">
        <v>271</v>
      </c>
      <c r="J240" s="88">
        <f t="shared" ref="J240:K240" si="264">J$122 * J180</f>
        <v>0</v>
      </c>
      <c r="K240" s="88">
        <f t="shared" si="264"/>
        <v>0</v>
      </c>
      <c r="L240" s="88">
        <f t="shared" ref="L240:M240" si="265">L$122 * L180</f>
        <v>0</v>
      </c>
      <c r="M240" s="88">
        <f t="shared" si="265"/>
        <v>0</v>
      </c>
      <c r="N240" s="88">
        <f t="shared" ref="N240:P240" si="266">N$122 * N180</f>
        <v>0</v>
      </c>
      <c r="O240" s="88">
        <f t="shared" si="266"/>
        <v>0</v>
      </c>
      <c r="P240" s="88">
        <f t="shared" si="266"/>
        <v>0.24021663669373225</v>
      </c>
      <c r="Q240" s="88">
        <f t="shared" ref="Q240" si="267">Q$122 * Q180</f>
        <v>0</v>
      </c>
      <c r="R240" s="69"/>
      <c r="S240" s="69"/>
      <c r="T240" s="69"/>
      <c r="U240" s="69"/>
      <c r="V240" s="69"/>
      <c r="W240" s="69"/>
      <c r="X240" s="69"/>
      <c r="Y240" s="69"/>
    </row>
    <row r="241" spans="2:27" x14ac:dyDescent="0.35">
      <c r="C241" s="78"/>
      <c r="D241"/>
      <c r="F241" t="s">
        <v>195</v>
      </c>
      <c r="G241" t="s">
        <v>271</v>
      </c>
      <c r="J241" s="88">
        <f t="shared" ref="J241:K241" si="268">J$122 * J181</f>
        <v>0</v>
      </c>
      <c r="K241" s="88">
        <f t="shared" si="268"/>
        <v>0</v>
      </c>
      <c r="L241" s="88">
        <f t="shared" ref="L241:M241" si="269">L$122 * L181</f>
        <v>0</v>
      </c>
      <c r="M241" s="88">
        <f t="shared" si="269"/>
        <v>0</v>
      </c>
      <c r="N241" s="88">
        <f t="shared" ref="N241:P241" si="270">N$122 * N181</f>
        <v>0</v>
      </c>
      <c r="O241" s="88">
        <f t="shared" si="270"/>
        <v>0</v>
      </c>
      <c r="P241" s="88">
        <f t="shared" si="270"/>
        <v>0.84975693158491261</v>
      </c>
      <c r="Q241" s="88">
        <f t="shared" ref="Q241" si="271">Q$122 * Q181</f>
        <v>0</v>
      </c>
      <c r="R241" s="69"/>
      <c r="S241" s="69"/>
      <c r="T241" s="69"/>
      <c r="U241" s="69"/>
      <c r="V241" s="69"/>
      <c r="W241" s="69"/>
      <c r="X241" s="69"/>
      <c r="Y241" s="69"/>
    </row>
    <row r="242" spans="2:27" x14ac:dyDescent="0.35">
      <c r="C242" s="78"/>
      <c r="D242"/>
      <c r="F242" t="s">
        <v>196</v>
      </c>
      <c r="G242" t="s">
        <v>271</v>
      </c>
      <c r="J242" s="88">
        <f t="shared" ref="J242:K242" si="272">J$122 * J182</f>
        <v>0</v>
      </c>
      <c r="K242" s="88">
        <f t="shared" si="272"/>
        <v>0</v>
      </c>
      <c r="L242" s="88">
        <f t="shared" ref="L242:M242" si="273">L$122 * L182</f>
        <v>0</v>
      </c>
      <c r="M242" s="88">
        <f t="shared" si="273"/>
        <v>0</v>
      </c>
      <c r="N242" s="88">
        <f t="shared" ref="N242:P242" si="274">N$122 * N182</f>
        <v>0</v>
      </c>
      <c r="O242" s="88">
        <f t="shared" si="274"/>
        <v>0</v>
      </c>
      <c r="P242" s="88">
        <f t="shared" si="274"/>
        <v>0</v>
      </c>
      <c r="Q242" s="88">
        <f t="shared" ref="Q242" si="275">Q$122 * Q182</f>
        <v>0</v>
      </c>
      <c r="R242" s="69"/>
      <c r="S242" s="69"/>
      <c r="T242" s="69"/>
      <c r="U242" s="69"/>
      <c r="V242" s="69"/>
      <c r="W242" s="69"/>
      <c r="X242" s="69"/>
      <c r="Y242" s="69"/>
    </row>
    <row r="243" spans="2:27" x14ac:dyDescent="0.35">
      <c r="C243" s="78"/>
      <c r="D243"/>
      <c r="F243" t="s">
        <v>197</v>
      </c>
      <c r="G243" t="s">
        <v>271</v>
      </c>
      <c r="J243" s="88">
        <f t="shared" ref="J243:K243" si="276">J$122 * J183</f>
        <v>0</v>
      </c>
      <c r="K243" s="88">
        <f t="shared" si="276"/>
        <v>0</v>
      </c>
      <c r="L243" s="88">
        <f t="shared" ref="L243:M243" si="277">L$122 * L183</f>
        <v>0</v>
      </c>
      <c r="M243" s="88">
        <f t="shared" si="277"/>
        <v>0</v>
      </c>
      <c r="N243" s="88">
        <f t="shared" ref="N243:P243" si="278">N$122 * N183</f>
        <v>0.4261035377400359</v>
      </c>
      <c r="O243" s="88">
        <f t="shared" si="278"/>
        <v>2.0386513296461346</v>
      </c>
      <c r="P243" s="88">
        <f t="shared" si="278"/>
        <v>2.0073776755000767</v>
      </c>
      <c r="Q243" s="88">
        <f t="shared" ref="Q243" si="279">Q$122 * Q183</f>
        <v>0</v>
      </c>
      <c r="R243" s="69"/>
      <c r="S243" s="69"/>
      <c r="T243" s="69"/>
      <c r="U243" s="69"/>
      <c r="V243" s="69"/>
      <c r="W243" s="69"/>
      <c r="X243" s="69"/>
      <c r="Y243" s="69"/>
    </row>
    <row r="244" spans="2:27" x14ac:dyDescent="0.35">
      <c r="C244" s="78"/>
      <c r="D244"/>
      <c r="F244" t="s">
        <v>198</v>
      </c>
      <c r="G244" t="s">
        <v>271</v>
      </c>
      <c r="J244" s="88">
        <f t="shared" ref="J244:K244" si="280">J$122 * J184</f>
        <v>0</v>
      </c>
      <c r="K244" s="88">
        <f t="shared" si="280"/>
        <v>0</v>
      </c>
      <c r="L244" s="88">
        <f t="shared" ref="L244:M244" si="281">L$122 * L184</f>
        <v>0</v>
      </c>
      <c r="M244" s="88">
        <f t="shared" si="281"/>
        <v>0</v>
      </c>
      <c r="N244" s="88">
        <f t="shared" ref="N244:P244" si="282">N$122 * N184</f>
        <v>0.81816855822695989</v>
      </c>
      <c r="O244" s="88">
        <f t="shared" si="282"/>
        <v>0.78288973048689825</v>
      </c>
      <c r="P244" s="88">
        <f t="shared" si="282"/>
        <v>0</v>
      </c>
      <c r="Q244" s="88">
        <f t="shared" ref="Q244" si="283">Q$122 * Q184</f>
        <v>0</v>
      </c>
      <c r="R244" s="69"/>
      <c r="S244" s="69"/>
      <c r="T244" s="69"/>
      <c r="U244" s="69"/>
      <c r="V244" s="69"/>
      <c r="W244" s="69"/>
      <c r="X244" s="69"/>
      <c r="Y244" s="69"/>
    </row>
    <row r="245" spans="2:27" x14ac:dyDescent="0.35">
      <c r="C245" s="78"/>
      <c r="D245"/>
      <c r="F245" t="s">
        <v>199</v>
      </c>
      <c r="G245" t="s">
        <v>271</v>
      </c>
      <c r="J245" s="88">
        <f t="shared" ref="J245:K245" si="284">J$122 * J185</f>
        <v>0</v>
      </c>
      <c r="K245" s="88">
        <f t="shared" si="284"/>
        <v>0</v>
      </c>
      <c r="L245" s="88">
        <f t="shared" ref="L245:M245" si="285">L$122 * L185</f>
        <v>0</v>
      </c>
      <c r="M245" s="88">
        <f t="shared" si="285"/>
        <v>0</v>
      </c>
      <c r="N245" s="88">
        <f t="shared" ref="N245:P245" si="286">N$122 * N185</f>
        <v>1.623459995181769</v>
      </c>
      <c r="O245" s="88">
        <f t="shared" si="286"/>
        <v>0</v>
      </c>
      <c r="P245" s="88">
        <f t="shared" si="286"/>
        <v>0</v>
      </c>
      <c r="Q245" s="88">
        <f t="shared" ref="Q245" si="287">Q$122 * Q185</f>
        <v>0</v>
      </c>
      <c r="R245" s="69"/>
      <c r="S245" s="69"/>
      <c r="T245" s="69"/>
      <c r="U245" s="69"/>
      <c r="V245" s="69"/>
      <c r="W245" s="69"/>
      <c r="X245" s="69"/>
      <c r="Y245" s="69"/>
    </row>
    <row r="246" spans="2:27" x14ac:dyDescent="0.35">
      <c r="C246" s="78"/>
      <c r="D246"/>
      <c r="F246" t="s">
        <v>375</v>
      </c>
      <c r="G246" t="s">
        <v>271</v>
      </c>
      <c r="J246" s="69"/>
      <c r="K246" s="69"/>
      <c r="L246" s="69"/>
      <c r="M246" s="69"/>
      <c r="N246" s="69"/>
      <c r="O246" s="69"/>
      <c r="P246" s="69"/>
      <c r="Q246" s="69"/>
      <c r="R246" s="69"/>
      <c r="S246" s="69"/>
      <c r="T246" s="69"/>
      <c r="U246" s="69"/>
      <c r="V246" s="69"/>
      <c r="W246" s="69"/>
      <c r="X246" s="69"/>
      <c r="Y246" s="69"/>
    </row>
    <row r="247" spans="2:27" x14ac:dyDescent="0.35">
      <c r="C247" s="78"/>
      <c r="D247"/>
      <c r="F247" s="28" t="s">
        <v>376</v>
      </c>
      <c r="G247" s="28" t="s">
        <v>271</v>
      </c>
      <c r="H247" s="28"/>
      <c r="I247" s="28"/>
      <c r="J247" s="71"/>
      <c r="K247" s="71"/>
      <c r="L247" s="71"/>
      <c r="M247" s="71"/>
      <c r="N247" s="71"/>
      <c r="O247" s="71"/>
      <c r="P247" s="71"/>
      <c r="Q247" s="71"/>
      <c r="R247" s="71"/>
      <c r="S247" s="71"/>
      <c r="T247" s="71"/>
      <c r="U247" s="71"/>
      <c r="V247" s="71"/>
      <c r="W247" s="71"/>
      <c r="X247" s="71"/>
      <c r="Y247" s="71"/>
    </row>
    <row r="248" spans="2:27" x14ac:dyDescent="0.35">
      <c r="C248" s="78"/>
      <c r="J248" s="79"/>
      <c r="K248" s="79"/>
      <c r="L248" s="79"/>
      <c r="M248" s="79"/>
      <c r="N248" s="79"/>
      <c r="O248" s="79"/>
      <c r="P248" s="79"/>
      <c r="Q248" s="79"/>
      <c r="R248" s="79"/>
      <c r="S248" s="79"/>
      <c r="T248" s="79"/>
      <c r="U248" s="79"/>
      <c r="V248" s="79"/>
      <c r="W248" s="79"/>
      <c r="X248" s="79"/>
      <c r="Y248" s="79"/>
    </row>
    <row r="249" spans="2:27" x14ac:dyDescent="0.35">
      <c r="B249" s="25" t="s">
        <v>706</v>
      </c>
      <c r="C249" s="25"/>
      <c r="D249" s="25"/>
      <c r="E249" s="25"/>
      <c r="F249" s="25"/>
      <c r="G249" s="25"/>
      <c r="H249" s="25"/>
      <c r="I249" s="25"/>
      <c r="J249" s="174"/>
      <c r="K249" s="174"/>
      <c r="L249" s="174"/>
      <c r="M249" s="174"/>
      <c r="N249" s="174"/>
      <c r="O249" s="174"/>
      <c r="P249" s="174"/>
      <c r="Q249" s="174"/>
      <c r="R249" s="174"/>
      <c r="S249" s="174"/>
      <c r="T249" s="174"/>
      <c r="U249" s="174"/>
      <c r="V249" s="174"/>
      <c r="W249" s="174"/>
      <c r="X249" s="174"/>
      <c r="Y249" s="174"/>
      <c r="Z249" s="25"/>
      <c r="AA249" s="25"/>
    </row>
    <row r="250" spans="2:27" x14ac:dyDescent="0.35">
      <c r="J250" s="79"/>
      <c r="K250" s="79"/>
      <c r="L250" s="79"/>
      <c r="M250" s="79"/>
      <c r="N250" s="79"/>
      <c r="O250" s="79"/>
      <c r="P250" s="79"/>
      <c r="Q250" s="79"/>
      <c r="R250" s="79"/>
      <c r="S250" s="79"/>
      <c r="T250" s="79"/>
      <c r="U250" s="79"/>
      <c r="V250" s="79"/>
      <c r="W250" s="79"/>
      <c r="X250" s="79"/>
      <c r="Y250" s="79"/>
    </row>
    <row r="251" spans="2:27" x14ac:dyDescent="0.35">
      <c r="B251" s="193"/>
      <c r="C251" s="24" t="s">
        <v>707</v>
      </c>
      <c r="D251"/>
      <c r="E251"/>
      <c r="J251" s="79"/>
      <c r="K251" s="79"/>
      <c r="L251" s="79"/>
      <c r="M251" s="79"/>
      <c r="N251" s="79"/>
      <c r="O251" s="79"/>
      <c r="P251" s="79"/>
      <c r="Q251" s="79"/>
      <c r="R251" s="79"/>
      <c r="S251" s="79"/>
      <c r="T251" s="79"/>
      <c r="U251" s="79"/>
      <c r="V251" s="79"/>
      <c r="W251" s="79"/>
      <c r="X251" s="79"/>
      <c r="Y251" s="79"/>
    </row>
    <row r="252" spans="2:27" x14ac:dyDescent="0.35">
      <c r="B252" s="193"/>
      <c r="C252" s="24" t="s">
        <v>708</v>
      </c>
      <c r="D252"/>
      <c r="E252"/>
      <c r="J252" s="79"/>
      <c r="K252" s="79"/>
      <c r="L252" s="79"/>
      <c r="M252" s="79"/>
      <c r="N252" s="79"/>
      <c r="O252" s="79"/>
      <c r="P252" s="79"/>
      <c r="Q252" s="79"/>
      <c r="R252" s="79"/>
      <c r="S252" s="79"/>
      <c r="T252" s="79"/>
      <c r="U252" s="79"/>
      <c r="V252" s="79"/>
      <c r="W252" s="79"/>
      <c r="X252" s="79"/>
      <c r="Y252" s="79"/>
    </row>
    <row r="253" spans="2:27" x14ac:dyDescent="0.35">
      <c r="J253" s="79"/>
      <c r="K253" s="79"/>
      <c r="L253" s="79"/>
      <c r="M253" s="79"/>
      <c r="N253" s="79"/>
      <c r="O253" s="79"/>
      <c r="P253" s="79"/>
      <c r="Q253" s="79"/>
      <c r="R253" s="79"/>
      <c r="S253" s="79"/>
      <c r="T253" s="79"/>
      <c r="U253" s="79"/>
      <c r="V253" s="79"/>
      <c r="W253" s="79"/>
      <c r="X253" s="79"/>
      <c r="Y253" s="79"/>
    </row>
    <row r="254" spans="2:27" x14ac:dyDescent="0.35">
      <c r="C254" s="26" t="str">
        <f ca="1">INDEX('Version control'!$H$38:$H$61,MATCH($A$1,'Version control'!$F$38:$F$61,0),1)&amp;"-F: Capacity and exceeded capacity charges"</f>
        <v>Section 112-F: Capacity and exceeded capacity charges</v>
      </c>
      <c r="D254" s="26"/>
      <c r="E254" s="26"/>
      <c r="F254" s="26"/>
      <c r="G254" s="26"/>
      <c r="H254" s="26"/>
      <c r="I254" s="26"/>
      <c r="J254" s="80"/>
      <c r="K254" s="80"/>
      <c r="L254" s="80"/>
      <c r="M254" s="80"/>
      <c r="N254" s="80"/>
      <c r="O254" s="80"/>
      <c r="P254" s="80"/>
      <c r="Q254" s="80"/>
      <c r="R254" s="80"/>
      <c r="S254" s="80"/>
      <c r="T254" s="80"/>
      <c r="U254" s="80"/>
      <c r="V254" s="80"/>
      <c r="W254" s="80"/>
      <c r="X254" s="80"/>
      <c r="Y254" s="80"/>
      <c r="Z254" s="26"/>
      <c r="AA254" s="26"/>
    </row>
    <row r="255" spans="2:27" x14ac:dyDescent="0.35">
      <c r="J255" s="79"/>
      <c r="K255" s="79"/>
      <c r="L255" s="79"/>
      <c r="M255" s="79"/>
      <c r="N255" s="79"/>
      <c r="O255" s="79"/>
      <c r="P255" s="79"/>
      <c r="Q255" s="79"/>
      <c r="R255" s="79"/>
      <c r="S255" s="79"/>
      <c r="T255" s="79"/>
      <c r="U255" s="79"/>
      <c r="V255" s="79"/>
      <c r="W255" s="79"/>
      <c r="X255" s="79"/>
      <c r="Y255" s="79"/>
    </row>
    <row r="256" spans="2:27" x14ac:dyDescent="0.35">
      <c r="E256" t="s">
        <v>709</v>
      </c>
      <c r="G256" t="s">
        <v>271</v>
      </c>
      <c r="I256" t="s">
        <v>154</v>
      </c>
      <c r="J256" s="121">
        <f t="shared" ref="J256:K256" si="288">SUM(J192:J203,J206:J217)</f>
        <v>0</v>
      </c>
      <c r="K256" s="121">
        <f t="shared" si="288"/>
        <v>0</v>
      </c>
      <c r="L256" s="121">
        <f t="shared" ref="L256:M256" si="289">SUM(L192:L203,L206:L217)</f>
        <v>0</v>
      </c>
      <c r="M256" s="121">
        <f t="shared" si="289"/>
        <v>0</v>
      </c>
      <c r="N256" s="121">
        <f t="shared" ref="N256:P256" si="290">SUM(N192:N203,N206:N217)</f>
        <v>4.102817462086314</v>
      </c>
      <c r="O256" s="121">
        <f t="shared" si="290"/>
        <v>5.5071913345692804</v>
      </c>
      <c r="P256" s="121">
        <f t="shared" si="290"/>
        <v>6.4949443898028001</v>
      </c>
      <c r="Q256" s="121">
        <f t="shared" ref="Q256" si="291">SUM(Q192:Q203,Q206:Q217)</f>
        <v>0</v>
      </c>
      <c r="R256" s="69"/>
      <c r="S256" s="69"/>
      <c r="T256" s="69"/>
      <c r="U256" s="69"/>
      <c r="V256" s="69"/>
      <c r="W256" s="69"/>
      <c r="X256" s="69"/>
      <c r="Y256" s="69"/>
      <c r="AA256" t="s">
        <v>710</v>
      </c>
    </row>
    <row r="257" spans="3:27" x14ac:dyDescent="0.35">
      <c r="E257" t="s">
        <v>711</v>
      </c>
      <c r="G257" t="s">
        <v>271</v>
      </c>
      <c r="I257" t="s">
        <v>154</v>
      </c>
      <c r="J257" s="111">
        <f t="shared" ref="J257:K257" si="292">SUM(J222:J233,J236:J247)</f>
        <v>0</v>
      </c>
      <c r="K257" s="111">
        <f t="shared" si="292"/>
        <v>0</v>
      </c>
      <c r="L257" s="111">
        <f t="shared" ref="L257:M257" si="293">SUM(L222:L233,L236:L247)</f>
        <v>0</v>
      </c>
      <c r="M257" s="111">
        <f t="shared" si="293"/>
        <v>0</v>
      </c>
      <c r="N257" s="111">
        <f t="shared" ref="N257:P257" si="294">SUM(N222:N233,N236:N247)</f>
        <v>7.1725728517083365</v>
      </c>
      <c r="O257" s="111">
        <f t="shared" si="294"/>
        <v>7.0570430446951793</v>
      </c>
      <c r="P257" s="111">
        <f t="shared" si="294"/>
        <v>7.7468803699975215</v>
      </c>
      <c r="Q257" s="111">
        <f t="shared" ref="Q257" si="295">SUM(Q222:Q233,Q236:Q247)</f>
        <v>0</v>
      </c>
      <c r="R257" s="69"/>
      <c r="S257" s="69"/>
      <c r="T257" s="69"/>
      <c r="U257" s="69"/>
      <c r="V257" s="69"/>
      <c r="W257" s="69"/>
      <c r="X257" s="69"/>
      <c r="Y257" s="69"/>
      <c r="AA257" t="s">
        <v>710</v>
      </c>
    </row>
    <row r="258" spans="3:27" x14ac:dyDescent="0.35">
      <c r="C258" s="78"/>
      <c r="J258" s="79"/>
      <c r="K258" s="79"/>
      <c r="L258" s="79"/>
      <c r="M258" s="79"/>
      <c r="N258" s="79"/>
      <c r="O258" s="79"/>
      <c r="P258" s="79"/>
      <c r="Q258" s="79"/>
      <c r="R258" s="79"/>
      <c r="S258" s="79"/>
      <c r="T258" s="79"/>
      <c r="U258" s="79"/>
      <c r="V258" s="79"/>
      <c r="W258" s="79"/>
      <c r="X258" s="79"/>
      <c r="Y258" s="79"/>
    </row>
    <row r="259" spans="3:27" x14ac:dyDescent="0.35">
      <c r="C259" s="26" t="str">
        <f ca="1">INDEX('Version control'!$H$38:$H$61,MATCH($A$1,'Version control'!$F$38:$F$61,0),1)&amp;"-G: Capacity elements allocated to fixed charges"</f>
        <v>Section 112-G: Capacity elements allocated to fixed charges</v>
      </c>
      <c r="D259" s="26"/>
      <c r="E259" s="26"/>
      <c r="F259" s="26"/>
      <c r="G259" s="26"/>
      <c r="H259" s="26"/>
      <c r="I259" s="26"/>
      <c r="J259" s="80"/>
      <c r="K259" s="80"/>
      <c r="L259" s="80"/>
      <c r="M259" s="80"/>
      <c r="N259" s="80"/>
      <c r="O259" s="80"/>
      <c r="P259" s="80"/>
      <c r="Q259" s="80"/>
      <c r="R259" s="80"/>
      <c r="S259" s="80"/>
      <c r="T259" s="80"/>
      <c r="U259" s="80"/>
      <c r="V259" s="80"/>
      <c r="W259" s="80"/>
      <c r="X259" s="80"/>
      <c r="Y259" s="80"/>
      <c r="Z259" s="26"/>
      <c r="AA259" s="26"/>
    </row>
    <row r="260" spans="3:27" x14ac:dyDescent="0.35">
      <c r="D260" s="27"/>
      <c r="E260" s="27"/>
      <c r="I260" t="s">
        <v>154</v>
      </c>
      <c r="J260" s="79"/>
      <c r="K260" s="79"/>
      <c r="L260" s="79"/>
      <c r="M260" s="79"/>
      <c r="N260" s="79"/>
      <c r="O260" s="79"/>
      <c r="P260" s="79"/>
      <c r="Q260" s="79"/>
      <c r="R260" s="79"/>
      <c r="S260" s="79"/>
      <c r="T260" s="79"/>
      <c r="U260" s="79"/>
      <c r="V260" s="79"/>
      <c r="W260" s="79"/>
      <c r="X260" s="79"/>
      <c r="Y260" s="79"/>
      <c r="AA260" t="s">
        <v>712</v>
      </c>
    </row>
    <row r="261" spans="3:27" x14ac:dyDescent="0.35">
      <c r="C261" s="78"/>
      <c r="D261"/>
      <c r="E261" s="27" t="s">
        <v>620</v>
      </c>
      <c r="J261" s="79"/>
      <c r="K261" s="79"/>
      <c r="L261" s="79"/>
      <c r="M261" s="79"/>
      <c r="N261" s="79"/>
      <c r="O261" s="79"/>
      <c r="P261" s="79"/>
      <c r="Q261" s="79"/>
      <c r="R261" s="79"/>
      <c r="S261" s="79"/>
      <c r="T261" s="79"/>
      <c r="U261" s="79"/>
      <c r="V261" s="79"/>
      <c r="W261" s="79"/>
      <c r="X261" s="79"/>
      <c r="Y261" s="79"/>
    </row>
    <row r="262" spans="3:27" x14ac:dyDescent="0.35">
      <c r="C262" s="78"/>
      <c r="D262"/>
      <c r="F262" s="19" t="s">
        <v>189</v>
      </c>
      <c r="G262" s="19" t="s">
        <v>271</v>
      </c>
      <c r="H262" s="19"/>
      <c r="I262" s="19"/>
      <c r="J262" s="73"/>
      <c r="K262" s="73"/>
      <c r="L262" s="73"/>
      <c r="M262" s="73"/>
      <c r="N262" s="73"/>
      <c r="O262" s="73"/>
      <c r="P262" s="73"/>
      <c r="Q262" s="73"/>
      <c r="R262" s="73"/>
      <c r="S262" s="73"/>
      <c r="T262" s="73"/>
      <c r="U262" s="73"/>
      <c r="V262" s="73"/>
      <c r="W262" s="73"/>
      <c r="X262" s="73"/>
      <c r="Y262" s="73"/>
    </row>
    <row r="263" spans="3:27" x14ac:dyDescent="0.35">
      <c r="C263" s="78"/>
      <c r="D263"/>
      <c r="F263" t="s">
        <v>191</v>
      </c>
      <c r="G263" t="s">
        <v>271</v>
      </c>
      <c r="J263" s="69"/>
      <c r="K263" s="69"/>
      <c r="L263" s="69"/>
      <c r="M263" s="69"/>
      <c r="N263" s="69"/>
      <c r="O263" s="69"/>
      <c r="P263" s="69"/>
      <c r="Q263" s="69"/>
      <c r="R263" s="69"/>
      <c r="S263" s="69"/>
      <c r="T263" s="69"/>
      <c r="U263" s="69"/>
      <c r="V263" s="69"/>
      <c r="W263" s="69"/>
      <c r="X263" s="69"/>
      <c r="Y263" s="69"/>
    </row>
    <row r="264" spans="3:27" x14ac:dyDescent="0.35">
      <c r="C264" s="78"/>
      <c r="D264"/>
      <c r="F264" t="s">
        <v>192</v>
      </c>
      <c r="G264" t="s">
        <v>271</v>
      </c>
      <c r="J264" s="111">
        <f t="shared" ref="J264:K264" si="296">J$123 * J134</f>
        <v>0</v>
      </c>
      <c r="K264" s="111">
        <f t="shared" si="296"/>
        <v>0</v>
      </c>
      <c r="L264" s="111">
        <f t="shared" ref="L264:M264" si="297">L$123 * L134</f>
        <v>0</v>
      </c>
      <c r="M264" s="111">
        <f t="shared" si="297"/>
        <v>0</v>
      </c>
      <c r="N264" s="111">
        <f t="shared" ref="N264:P264" si="298">N$123 * N134</f>
        <v>0</v>
      </c>
      <c r="O264" s="111">
        <f t="shared" si="298"/>
        <v>0</v>
      </c>
      <c r="P264" s="111">
        <f t="shared" si="298"/>
        <v>0</v>
      </c>
      <c r="Q264" s="111">
        <f t="shared" ref="Q264" si="299">Q$123 * Q134</f>
        <v>0</v>
      </c>
      <c r="R264" s="69"/>
      <c r="S264" s="69"/>
      <c r="T264" s="69"/>
      <c r="U264" s="69"/>
      <c r="V264" s="69"/>
      <c r="W264" s="69"/>
      <c r="X264" s="69"/>
      <c r="Y264" s="69"/>
    </row>
    <row r="265" spans="3:27" x14ac:dyDescent="0.35">
      <c r="C265" s="78"/>
      <c r="D265"/>
      <c r="F265" t="s">
        <v>193</v>
      </c>
      <c r="G265" t="s">
        <v>271</v>
      </c>
      <c r="J265" s="111">
        <f t="shared" ref="J265:K265" si="300">J$123 * J135</f>
        <v>0</v>
      </c>
      <c r="K265" s="111">
        <f t="shared" si="300"/>
        <v>0</v>
      </c>
      <c r="L265" s="111">
        <f t="shared" ref="L265:M265" si="301">L$123 * L135</f>
        <v>0</v>
      </c>
      <c r="M265" s="111">
        <f t="shared" si="301"/>
        <v>0</v>
      </c>
      <c r="N265" s="111">
        <f t="shared" ref="N265:P265" si="302">N$123 * N135</f>
        <v>0</v>
      </c>
      <c r="O265" s="111">
        <f t="shared" si="302"/>
        <v>0</v>
      </c>
      <c r="P265" s="111">
        <f t="shared" si="302"/>
        <v>0</v>
      </c>
      <c r="Q265" s="111">
        <f t="shared" ref="Q265" si="303">Q$123 * Q135</f>
        <v>0</v>
      </c>
      <c r="R265" s="69"/>
      <c r="S265" s="69"/>
      <c r="T265" s="69"/>
      <c r="U265" s="69"/>
      <c r="V265" s="69"/>
      <c r="W265" s="69"/>
      <c r="X265" s="69"/>
      <c r="Y265" s="69"/>
    </row>
    <row r="266" spans="3:27" x14ac:dyDescent="0.35">
      <c r="C266" s="78"/>
      <c r="D266"/>
      <c r="F266" t="s">
        <v>194</v>
      </c>
      <c r="G266" t="s">
        <v>271</v>
      </c>
      <c r="J266" s="111">
        <f t="shared" ref="J266:K266" si="304">J$123 * J136</f>
        <v>0</v>
      </c>
      <c r="K266" s="111">
        <f t="shared" si="304"/>
        <v>0</v>
      </c>
      <c r="L266" s="111">
        <f t="shared" ref="L266:M266" si="305">L$123 * L136</f>
        <v>0</v>
      </c>
      <c r="M266" s="111">
        <f t="shared" si="305"/>
        <v>0</v>
      </c>
      <c r="N266" s="111">
        <f t="shared" ref="N266:P266" si="306">N$123 * N136</f>
        <v>0</v>
      </c>
      <c r="O266" s="111">
        <f t="shared" si="306"/>
        <v>0</v>
      </c>
      <c r="P266" s="111">
        <f t="shared" si="306"/>
        <v>0</v>
      </c>
      <c r="Q266" s="111">
        <f t="shared" ref="Q266" si="307">Q$123 * Q136</f>
        <v>0</v>
      </c>
      <c r="R266" s="69"/>
      <c r="S266" s="69"/>
      <c r="T266" s="69"/>
      <c r="U266" s="69"/>
      <c r="V266" s="69"/>
      <c r="W266" s="69"/>
      <c r="X266" s="69"/>
      <c r="Y266" s="69"/>
    </row>
    <row r="267" spans="3:27" x14ac:dyDescent="0.35">
      <c r="C267" s="78"/>
      <c r="D267"/>
      <c r="F267" t="s">
        <v>195</v>
      </c>
      <c r="G267" t="s">
        <v>271</v>
      </c>
      <c r="J267" s="111">
        <f t="shared" ref="J267:K267" si="308">J$123 * J137</f>
        <v>0</v>
      </c>
      <c r="K267" s="111">
        <f t="shared" si="308"/>
        <v>0</v>
      </c>
      <c r="L267" s="111">
        <f t="shared" ref="L267:M267" si="309">L$123 * L137</f>
        <v>0</v>
      </c>
      <c r="M267" s="111">
        <f t="shared" si="309"/>
        <v>0</v>
      </c>
      <c r="N267" s="111">
        <f t="shared" ref="N267:P267" si="310">N$123 * N137</f>
        <v>0</v>
      </c>
      <c r="O267" s="111">
        <f t="shared" si="310"/>
        <v>0</v>
      </c>
      <c r="P267" s="111">
        <f t="shared" si="310"/>
        <v>0</v>
      </c>
      <c r="Q267" s="111">
        <f t="shared" ref="Q267" si="311">Q$123 * Q137</f>
        <v>0</v>
      </c>
      <c r="R267" s="69"/>
      <c r="S267" s="69"/>
      <c r="T267" s="69"/>
      <c r="U267" s="69"/>
      <c r="V267" s="69"/>
      <c r="W267" s="69"/>
      <c r="X267" s="69"/>
      <c r="Y267" s="69"/>
    </row>
    <row r="268" spans="3:27" x14ac:dyDescent="0.35">
      <c r="C268" s="78"/>
      <c r="D268"/>
      <c r="F268" t="s">
        <v>196</v>
      </c>
      <c r="G268" t="s">
        <v>271</v>
      </c>
      <c r="J268" s="111">
        <f t="shared" ref="J268:K268" si="312">J$123 * J138</f>
        <v>0</v>
      </c>
      <c r="K268" s="111">
        <f t="shared" si="312"/>
        <v>0</v>
      </c>
      <c r="L268" s="111">
        <f t="shared" ref="L268:M268" si="313">L$123 * L138</f>
        <v>0</v>
      </c>
      <c r="M268" s="111">
        <f t="shared" si="313"/>
        <v>0</v>
      </c>
      <c r="N268" s="111">
        <f t="shared" ref="N268:P268" si="314">N$123 * N138</f>
        <v>0</v>
      </c>
      <c r="O268" s="111">
        <f t="shared" si="314"/>
        <v>0</v>
      </c>
      <c r="P268" s="111">
        <f t="shared" si="314"/>
        <v>0</v>
      </c>
      <c r="Q268" s="111">
        <f t="shared" ref="Q268" si="315">Q$123 * Q138</f>
        <v>0</v>
      </c>
      <c r="R268" s="69"/>
      <c r="S268" s="69"/>
      <c r="T268" s="69"/>
      <c r="U268" s="69"/>
      <c r="V268" s="69"/>
      <c r="W268" s="69"/>
      <c r="X268" s="69"/>
      <c r="Y268" s="69"/>
    </row>
    <row r="269" spans="3:27" x14ac:dyDescent="0.35">
      <c r="C269" s="78"/>
      <c r="D269"/>
      <c r="F269" t="s">
        <v>197</v>
      </c>
      <c r="G269" t="s">
        <v>271</v>
      </c>
      <c r="J269" s="111">
        <f t="shared" ref="J269:K269" si="316">J$123 * J139</f>
        <v>0</v>
      </c>
      <c r="K269" s="111">
        <f t="shared" si="316"/>
        <v>0</v>
      </c>
      <c r="L269" s="111">
        <f t="shared" ref="L269:M269" si="317">L$123 * L139</f>
        <v>0</v>
      </c>
      <c r="M269" s="111">
        <f t="shared" si="317"/>
        <v>0</v>
      </c>
      <c r="N269" s="111">
        <f t="shared" ref="N269:P269" si="318">N$123 * N139</f>
        <v>0</v>
      </c>
      <c r="O269" s="111">
        <f t="shared" si="318"/>
        <v>0</v>
      </c>
      <c r="P269" s="111">
        <f t="shared" si="318"/>
        <v>0</v>
      </c>
      <c r="Q269" s="111">
        <f t="shared" ref="Q269" si="319">Q$123 * Q139</f>
        <v>0</v>
      </c>
      <c r="R269" s="69"/>
      <c r="S269" s="69"/>
      <c r="T269" s="69"/>
      <c r="U269" s="69"/>
      <c r="V269" s="69"/>
      <c r="W269" s="69"/>
      <c r="X269" s="69"/>
      <c r="Y269" s="69"/>
    </row>
    <row r="270" spans="3:27" x14ac:dyDescent="0.35">
      <c r="C270" s="78"/>
      <c r="D270"/>
      <c r="F270" t="s">
        <v>198</v>
      </c>
      <c r="G270" t="s">
        <v>271</v>
      </c>
      <c r="J270" s="111">
        <f t="shared" ref="J270:K270" si="320">J$123 * J140</f>
        <v>0</v>
      </c>
      <c r="K270" s="111">
        <f t="shared" si="320"/>
        <v>0</v>
      </c>
      <c r="L270" s="111">
        <f t="shared" ref="L270:M270" si="321">L$123 * L140</f>
        <v>0</v>
      </c>
      <c r="M270" s="111">
        <f t="shared" si="321"/>
        <v>0</v>
      </c>
      <c r="N270" s="111">
        <f t="shared" ref="N270:P270" si="322">N$123 * N140</f>
        <v>0</v>
      </c>
      <c r="O270" s="111">
        <f t="shared" si="322"/>
        <v>0</v>
      </c>
      <c r="P270" s="111">
        <f t="shared" si="322"/>
        <v>0</v>
      </c>
      <c r="Q270" s="111">
        <f t="shared" ref="Q270" si="323">Q$123 * Q140</f>
        <v>0</v>
      </c>
      <c r="R270" s="69"/>
      <c r="S270" s="69"/>
      <c r="T270" s="69"/>
      <c r="U270" s="69"/>
      <c r="V270" s="69"/>
      <c r="W270" s="69"/>
      <c r="X270" s="69"/>
      <c r="Y270" s="69"/>
    </row>
    <row r="271" spans="3:27" x14ac:dyDescent="0.35">
      <c r="C271" s="78"/>
      <c r="D271"/>
      <c r="F271" t="s">
        <v>199</v>
      </c>
      <c r="G271" t="s">
        <v>271</v>
      </c>
      <c r="J271" s="111">
        <f t="shared" ref="J271:K271" si="324">J$123 * J141</f>
        <v>0.10733470520721861</v>
      </c>
      <c r="K271" s="111">
        <f t="shared" si="324"/>
        <v>0</v>
      </c>
      <c r="L271" s="111">
        <f t="shared" ref="L271:M271" si="325">L$123 * L141</f>
        <v>0.10733470520721861</v>
      </c>
      <c r="M271" s="111">
        <f t="shared" si="325"/>
        <v>0</v>
      </c>
      <c r="N271" s="111">
        <f t="shared" ref="N271:P271" si="326">N$123 * N141</f>
        <v>0</v>
      </c>
      <c r="O271" s="111">
        <f t="shared" si="326"/>
        <v>0</v>
      </c>
      <c r="P271" s="111">
        <f t="shared" si="326"/>
        <v>0</v>
      </c>
      <c r="Q271" s="111">
        <f t="shared" ref="Q271" si="327">Q$123 * Q141</f>
        <v>0</v>
      </c>
      <c r="R271" s="69"/>
      <c r="S271" s="69"/>
      <c r="T271" s="69"/>
      <c r="U271" s="69"/>
      <c r="V271" s="69"/>
      <c r="W271" s="69"/>
      <c r="X271" s="69"/>
      <c r="Y271" s="69"/>
    </row>
    <row r="272" spans="3:27" x14ac:dyDescent="0.35">
      <c r="C272" s="78"/>
      <c r="D272"/>
      <c r="F272" t="s">
        <v>375</v>
      </c>
      <c r="G272" t="s">
        <v>271</v>
      </c>
      <c r="J272" s="69"/>
      <c r="K272" s="69"/>
      <c r="L272" s="69"/>
      <c r="M272" s="69"/>
      <c r="N272" s="69"/>
      <c r="O272" s="69"/>
      <c r="P272" s="69"/>
      <c r="Q272" s="69"/>
      <c r="R272" s="69"/>
      <c r="S272" s="69"/>
      <c r="T272" s="69"/>
      <c r="U272" s="69"/>
      <c r="V272" s="69"/>
      <c r="W272" s="69"/>
      <c r="X272" s="69"/>
      <c r="Y272" s="69"/>
    </row>
    <row r="273" spans="3:25" x14ac:dyDescent="0.35">
      <c r="C273" s="78"/>
      <c r="D273"/>
      <c r="F273" s="28" t="s">
        <v>376</v>
      </c>
      <c r="G273" s="28" t="s">
        <v>271</v>
      </c>
      <c r="H273" s="28"/>
      <c r="I273" s="28"/>
      <c r="J273" s="71"/>
      <c r="K273" s="71"/>
      <c r="L273" s="71"/>
      <c r="M273" s="71"/>
      <c r="N273" s="71"/>
      <c r="O273" s="71"/>
      <c r="P273" s="71"/>
      <c r="Q273" s="71"/>
      <c r="R273" s="71"/>
      <c r="S273" s="71"/>
      <c r="T273" s="71"/>
      <c r="U273" s="71"/>
      <c r="V273" s="71"/>
      <c r="W273" s="71"/>
      <c r="X273" s="71"/>
      <c r="Y273" s="71"/>
    </row>
    <row r="274" spans="3:25" x14ac:dyDescent="0.35">
      <c r="C274" s="78"/>
      <c r="D274"/>
      <c r="J274" s="79"/>
      <c r="K274" s="79"/>
      <c r="L274" s="79"/>
      <c r="M274" s="79"/>
      <c r="N274" s="79"/>
      <c r="O274" s="79"/>
      <c r="P274" s="79"/>
      <c r="Q274" s="79"/>
      <c r="R274" s="79"/>
      <c r="S274" s="79"/>
      <c r="T274" s="79"/>
      <c r="U274" s="79"/>
      <c r="V274" s="79"/>
      <c r="W274" s="79"/>
      <c r="X274" s="79"/>
      <c r="Y274" s="79"/>
    </row>
    <row r="275" spans="3:25" x14ac:dyDescent="0.35">
      <c r="C275" s="78"/>
      <c r="D275"/>
      <c r="E275" s="27" t="s">
        <v>713</v>
      </c>
      <c r="J275" s="79"/>
      <c r="K275" s="79"/>
      <c r="L275" s="79"/>
      <c r="M275" s="79"/>
      <c r="N275" s="79"/>
      <c r="O275" s="79"/>
      <c r="P275" s="79"/>
      <c r="Q275" s="79"/>
      <c r="R275" s="79"/>
      <c r="S275" s="79"/>
      <c r="T275" s="79"/>
      <c r="U275" s="79"/>
      <c r="V275" s="79"/>
      <c r="W275" s="79"/>
      <c r="X275" s="79"/>
      <c r="Y275" s="79"/>
    </row>
    <row r="276" spans="3:25" x14ac:dyDescent="0.35">
      <c r="C276" s="78"/>
      <c r="D276"/>
      <c r="F276" s="19" t="s">
        <v>189</v>
      </c>
      <c r="G276" s="19" t="s">
        <v>271</v>
      </c>
      <c r="H276" s="19"/>
      <c r="I276" s="19"/>
      <c r="J276" s="91">
        <f t="shared" ref="J276:K276" si="328">J$123 * J146</f>
        <v>0</v>
      </c>
      <c r="K276" s="91">
        <f t="shared" si="328"/>
        <v>0</v>
      </c>
      <c r="L276" s="91">
        <f t="shared" ref="L276:M276" si="329">L$123 * L146</f>
        <v>0</v>
      </c>
      <c r="M276" s="91">
        <f t="shared" si="329"/>
        <v>0</v>
      </c>
      <c r="N276" s="91">
        <f t="shared" ref="N276:P276" si="330">N$123 * N146</f>
        <v>0</v>
      </c>
      <c r="O276" s="91">
        <f t="shared" si="330"/>
        <v>0</v>
      </c>
      <c r="P276" s="91">
        <f t="shared" si="330"/>
        <v>0</v>
      </c>
      <c r="Q276" s="91">
        <f t="shared" ref="Q276" si="331">Q$123 * Q146</f>
        <v>0</v>
      </c>
      <c r="R276" s="73"/>
      <c r="S276" s="73"/>
      <c r="T276" s="73"/>
      <c r="U276" s="73"/>
      <c r="V276" s="73"/>
      <c r="W276" s="73"/>
      <c r="X276" s="73"/>
      <c r="Y276" s="73"/>
    </row>
    <row r="277" spans="3:25" x14ac:dyDescent="0.35">
      <c r="C277" s="78"/>
      <c r="D277"/>
      <c r="F277" t="s">
        <v>191</v>
      </c>
      <c r="G277" t="s">
        <v>271</v>
      </c>
      <c r="J277" s="111">
        <f t="shared" ref="J277:K277" si="332">J$123 * J147</f>
        <v>0</v>
      </c>
      <c r="K277" s="111">
        <f t="shared" si="332"/>
        <v>0</v>
      </c>
      <c r="L277" s="111">
        <f t="shared" ref="L277:M277" si="333">L$123 * L147</f>
        <v>0</v>
      </c>
      <c r="M277" s="111">
        <f t="shared" si="333"/>
        <v>0</v>
      </c>
      <c r="N277" s="111">
        <f t="shared" ref="N277:P277" si="334">N$123 * N147</f>
        <v>0</v>
      </c>
      <c r="O277" s="111">
        <f t="shared" si="334"/>
        <v>0</v>
      </c>
      <c r="P277" s="111">
        <f t="shared" si="334"/>
        <v>0</v>
      </c>
      <c r="Q277" s="111">
        <f t="shared" ref="Q277" si="335">Q$123 * Q147</f>
        <v>0</v>
      </c>
      <c r="R277" s="69"/>
      <c r="S277" s="69"/>
      <c r="T277" s="69"/>
      <c r="U277" s="69"/>
      <c r="V277" s="69"/>
      <c r="W277" s="69"/>
      <c r="X277" s="69"/>
      <c r="Y277" s="69"/>
    </row>
    <row r="278" spans="3:25" x14ac:dyDescent="0.35">
      <c r="C278" s="78"/>
      <c r="D278"/>
      <c r="F278" t="s">
        <v>192</v>
      </c>
      <c r="G278" t="s">
        <v>271</v>
      </c>
      <c r="J278" s="111">
        <f t="shared" ref="J278:K278" si="336">J$123 * J148</f>
        <v>0</v>
      </c>
      <c r="K278" s="111">
        <f t="shared" si="336"/>
        <v>0</v>
      </c>
      <c r="L278" s="111">
        <f t="shared" ref="L278:M278" si="337">L$123 * L148</f>
        <v>0</v>
      </c>
      <c r="M278" s="111">
        <f t="shared" si="337"/>
        <v>0</v>
      </c>
      <c r="N278" s="111">
        <f t="shared" ref="N278:P278" si="338">N$123 * N148</f>
        <v>0</v>
      </c>
      <c r="O278" s="111">
        <f t="shared" si="338"/>
        <v>0</v>
      </c>
      <c r="P278" s="111">
        <f t="shared" si="338"/>
        <v>0</v>
      </c>
      <c r="Q278" s="111">
        <f t="shared" ref="Q278" si="339">Q$123 * Q148</f>
        <v>0</v>
      </c>
      <c r="R278" s="69"/>
      <c r="S278" s="69"/>
      <c r="T278" s="69"/>
      <c r="U278" s="69"/>
      <c r="V278" s="69"/>
      <c r="W278" s="69"/>
      <c r="X278" s="69"/>
      <c r="Y278" s="69"/>
    </row>
    <row r="279" spans="3:25" x14ac:dyDescent="0.35">
      <c r="C279" s="78"/>
      <c r="D279"/>
      <c r="F279" t="s">
        <v>193</v>
      </c>
      <c r="G279" t="s">
        <v>271</v>
      </c>
      <c r="J279" s="111">
        <f t="shared" ref="J279:K279" si="340">J$123 * J149</f>
        <v>0</v>
      </c>
      <c r="K279" s="111">
        <f t="shared" si="340"/>
        <v>0</v>
      </c>
      <c r="L279" s="111">
        <f t="shared" ref="L279:M279" si="341">L$123 * L149</f>
        <v>0</v>
      </c>
      <c r="M279" s="111">
        <f t="shared" si="341"/>
        <v>0</v>
      </c>
      <c r="N279" s="111">
        <f t="shared" ref="N279:P279" si="342">N$123 * N149</f>
        <v>0</v>
      </c>
      <c r="O279" s="111">
        <f t="shared" si="342"/>
        <v>0</v>
      </c>
      <c r="P279" s="111">
        <f t="shared" si="342"/>
        <v>0</v>
      </c>
      <c r="Q279" s="111">
        <f t="shared" ref="Q279" si="343">Q$123 * Q149</f>
        <v>0</v>
      </c>
      <c r="R279" s="69"/>
      <c r="S279" s="69"/>
      <c r="T279" s="69"/>
      <c r="U279" s="69"/>
      <c r="V279" s="69"/>
      <c r="W279" s="69"/>
      <c r="X279" s="69"/>
      <c r="Y279" s="69"/>
    </row>
    <row r="280" spans="3:25" x14ac:dyDescent="0.35">
      <c r="C280" s="78"/>
      <c r="D280"/>
      <c r="F280" t="s">
        <v>194</v>
      </c>
      <c r="G280" t="s">
        <v>271</v>
      </c>
      <c r="J280" s="111">
        <f t="shared" ref="J280:K280" si="344">J$123 * J150</f>
        <v>0</v>
      </c>
      <c r="K280" s="111">
        <f t="shared" si="344"/>
        <v>0</v>
      </c>
      <c r="L280" s="111">
        <f t="shared" ref="L280:M280" si="345">L$123 * L150</f>
        <v>0</v>
      </c>
      <c r="M280" s="111">
        <f t="shared" si="345"/>
        <v>0</v>
      </c>
      <c r="N280" s="111">
        <f t="shared" ref="N280:P280" si="346">N$123 * N150</f>
        <v>0</v>
      </c>
      <c r="O280" s="111">
        <f t="shared" si="346"/>
        <v>0</v>
      </c>
      <c r="P280" s="111">
        <f t="shared" si="346"/>
        <v>0</v>
      </c>
      <c r="Q280" s="111">
        <f t="shared" ref="Q280" si="347">Q$123 * Q150</f>
        <v>0</v>
      </c>
      <c r="R280" s="69"/>
      <c r="S280" s="69"/>
      <c r="T280" s="69"/>
      <c r="U280" s="69"/>
      <c r="V280" s="69"/>
      <c r="W280" s="69"/>
      <c r="X280" s="69"/>
      <c r="Y280" s="69"/>
    </row>
    <row r="281" spans="3:25" x14ac:dyDescent="0.35">
      <c r="C281" s="78"/>
      <c r="D281"/>
      <c r="F281" t="s">
        <v>195</v>
      </c>
      <c r="G281" t="s">
        <v>271</v>
      </c>
      <c r="J281" s="111">
        <f t="shared" ref="J281:K281" si="348">J$123 * J151</f>
        <v>0</v>
      </c>
      <c r="K281" s="111">
        <f t="shared" si="348"/>
        <v>0</v>
      </c>
      <c r="L281" s="111">
        <f t="shared" ref="L281:M281" si="349">L$123 * L151</f>
        <v>0</v>
      </c>
      <c r="M281" s="111">
        <f t="shared" si="349"/>
        <v>0</v>
      </c>
      <c r="N281" s="111">
        <f t="shared" ref="N281:P281" si="350">N$123 * N151</f>
        <v>0</v>
      </c>
      <c r="O281" s="111">
        <f t="shared" si="350"/>
        <v>0</v>
      </c>
      <c r="P281" s="111">
        <f t="shared" si="350"/>
        <v>0</v>
      </c>
      <c r="Q281" s="111">
        <f t="shared" ref="Q281" si="351">Q$123 * Q151</f>
        <v>0</v>
      </c>
      <c r="R281" s="69"/>
      <c r="S281" s="69"/>
      <c r="T281" s="69"/>
      <c r="U281" s="69"/>
      <c r="V281" s="69"/>
      <c r="W281" s="69"/>
      <c r="X281" s="69"/>
      <c r="Y281" s="69"/>
    </row>
    <row r="282" spans="3:25" x14ac:dyDescent="0.35">
      <c r="C282" s="78"/>
      <c r="D282"/>
      <c r="F282" t="s">
        <v>196</v>
      </c>
      <c r="G282" t="s">
        <v>271</v>
      </c>
      <c r="J282" s="111">
        <f t="shared" ref="J282:K282" si="352">J$123 * J152</f>
        <v>0</v>
      </c>
      <c r="K282" s="111">
        <f t="shared" si="352"/>
        <v>0</v>
      </c>
      <c r="L282" s="111">
        <f t="shared" ref="L282:M282" si="353">L$123 * L152</f>
        <v>0</v>
      </c>
      <c r="M282" s="111">
        <f t="shared" si="353"/>
        <v>0</v>
      </c>
      <c r="N282" s="111">
        <f t="shared" ref="N282:P282" si="354">N$123 * N152</f>
        <v>0</v>
      </c>
      <c r="O282" s="111">
        <f t="shared" si="354"/>
        <v>0</v>
      </c>
      <c r="P282" s="111">
        <f t="shared" si="354"/>
        <v>0</v>
      </c>
      <c r="Q282" s="111">
        <f t="shared" ref="Q282" si="355">Q$123 * Q152</f>
        <v>0</v>
      </c>
      <c r="R282" s="69"/>
      <c r="S282" s="69"/>
      <c r="T282" s="69"/>
      <c r="U282" s="69"/>
      <c r="V282" s="69"/>
      <c r="W282" s="69"/>
      <c r="X282" s="69"/>
      <c r="Y282" s="69"/>
    </row>
    <row r="283" spans="3:25" x14ac:dyDescent="0.35">
      <c r="C283" s="78"/>
      <c r="D283"/>
      <c r="F283" t="s">
        <v>197</v>
      </c>
      <c r="G283" t="s">
        <v>271</v>
      </c>
      <c r="J283" s="111">
        <f t="shared" ref="J283:K283" si="356">J$123 * J153</f>
        <v>0</v>
      </c>
      <c r="K283" s="111">
        <f t="shared" si="356"/>
        <v>0</v>
      </c>
      <c r="L283" s="111">
        <f t="shared" ref="L283:M283" si="357">L$123 * L153</f>
        <v>0</v>
      </c>
      <c r="M283" s="111">
        <f t="shared" si="357"/>
        <v>0</v>
      </c>
      <c r="N283" s="111">
        <f t="shared" ref="N283:P283" si="358">N$123 * N153</f>
        <v>0</v>
      </c>
      <c r="O283" s="111">
        <f t="shared" si="358"/>
        <v>0</v>
      </c>
      <c r="P283" s="111">
        <f t="shared" si="358"/>
        <v>0</v>
      </c>
      <c r="Q283" s="111">
        <f t="shared" ref="Q283" si="359">Q$123 * Q153</f>
        <v>0</v>
      </c>
      <c r="R283" s="69"/>
      <c r="S283" s="69"/>
      <c r="T283" s="69"/>
      <c r="U283" s="69"/>
      <c r="V283" s="69"/>
      <c r="W283" s="69"/>
      <c r="X283" s="69"/>
      <c r="Y283" s="69"/>
    </row>
    <row r="284" spans="3:25" x14ac:dyDescent="0.35">
      <c r="C284" s="78"/>
      <c r="D284"/>
      <c r="F284" t="s">
        <v>198</v>
      </c>
      <c r="G284" t="s">
        <v>271</v>
      </c>
      <c r="J284" s="111">
        <f t="shared" ref="J284:K284" si="360">J$123 * J154</f>
        <v>0</v>
      </c>
      <c r="K284" s="111">
        <f t="shared" si="360"/>
        <v>0</v>
      </c>
      <c r="L284" s="111">
        <f t="shared" ref="L284:M284" si="361">L$123 * L154</f>
        <v>0</v>
      </c>
      <c r="M284" s="111">
        <f t="shared" si="361"/>
        <v>0</v>
      </c>
      <c r="N284" s="111">
        <f t="shared" ref="N284:P284" si="362">N$123 * N154</f>
        <v>0</v>
      </c>
      <c r="O284" s="111">
        <f t="shared" si="362"/>
        <v>0</v>
      </c>
      <c r="P284" s="111">
        <f t="shared" si="362"/>
        <v>0</v>
      </c>
      <c r="Q284" s="111">
        <f t="shared" ref="Q284" si="363">Q$123 * Q154</f>
        <v>0</v>
      </c>
      <c r="R284" s="69"/>
      <c r="S284" s="69"/>
      <c r="T284" s="69"/>
      <c r="U284" s="69"/>
      <c r="V284" s="69"/>
      <c r="W284" s="69"/>
      <c r="X284" s="69"/>
      <c r="Y284" s="69"/>
    </row>
    <row r="285" spans="3:25" x14ac:dyDescent="0.35">
      <c r="C285" s="78"/>
      <c r="D285"/>
      <c r="F285" t="s">
        <v>199</v>
      </c>
      <c r="G285" t="s">
        <v>271</v>
      </c>
      <c r="J285" s="111">
        <f t="shared" ref="J285:K285" si="364">J$123 * J155</f>
        <v>1.623459995181769</v>
      </c>
      <c r="K285" s="111">
        <f t="shared" si="364"/>
        <v>0</v>
      </c>
      <c r="L285" s="111">
        <f t="shared" ref="L285:M285" si="365">L$123 * L155</f>
        <v>1.623459995181769</v>
      </c>
      <c r="M285" s="111">
        <f t="shared" si="365"/>
        <v>0</v>
      </c>
      <c r="N285" s="111">
        <f t="shared" ref="N285:P285" si="366">N$123 * N155</f>
        <v>0</v>
      </c>
      <c r="O285" s="111">
        <f t="shared" si="366"/>
        <v>0</v>
      </c>
      <c r="P285" s="111">
        <f t="shared" si="366"/>
        <v>0</v>
      </c>
      <c r="Q285" s="111">
        <f t="shared" ref="Q285" si="367">Q$123 * Q155</f>
        <v>0</v>
      </c>
      <c r="R285" s="69"/>
      <c r="S285" s="69"/>
      <c r="T285" s="69"/>
      <c r="U285" s="69"/>
      <c r="V285" s="69"/>
      <c r="W285" s="69"/>
      <c r="X285" s="69"/>
      <c r="Y285" s="69"/>
    </row>
    <row r="286" spans="3:25" x14ac:dyDescent="0.35">
      <c r="C286" s="78"/>
      <c r="D286"/>
      <c r="F286" t="s">
        <v>375</v>
      </c>
      <c r="G286" t="s">
        <v>271</v>
      </c>
      <c r="J286" s="69"/>
      <c r="K286" s="69"/>
      <c r="L286" s="69"/>
      <c r="M286" s="69"/>
      <c r="N286" s="69"/>
      <c r="O286" s="69"/>
      <c r="P286" s="69"/>
      <c r="Q286" s="69"/>
      <c r="R286" s="69"/>
      <c r="S286" s="69"/>
      <c r="T286" s="69"/>
      <c r="U286" s="69"/>
      <c r="V286" s="69"/>
      <c r="W286" s="69"/>
      <c r="X286" s="69"/>
      <c r="Y286" s="69"/>
    </row>
    <row r="287" spans="3:25" x14ac:dyDescent="0.35">
      <c r="C287" s="78"/>
      <c r="D287"/>
      <c r="F287" s="28" t="s">
        <v>376</v>
      </c>
      <c r="G287" s="28" t="s">
        <v>271</v>
      </c>
      <c r="H287" s="28"/>
      <c r="I287" s="28"/>
      <c r="J287" s="71"/>
      <c r="K287" s="71"/>
      <c r="L287" s="71"/>
      <c r="M287" s="71"/>
      <c r="N287" s="71"/>
      <c r="O287" s="71"/>
      <c r="P287" s="71"/>
      <c r="Q287" s="71"/>
      <c r="R287" s="71"/>
      <c r="S287" s="71"/>
      <c r="T287" s="71"/>
      <c r="U287" s="71"/>
      <c r="V287" s="71"/>
      <c r="W287" s="71"/>
      <c r="X287" s="71"/>
      <c r="Y287" s="71"/>
    </row>
    <row r="288" spans="3:25" x14ac:dyDescent="0.35">
      <c r="C288" s="78"/>
    </row>
    <row r="289" spans="2:27" x14ac:dyDescent="0.35">
      <c r="B289" s="25" t="s">
        <v>231</v>
      </c>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row>
    <row r="291" spans="2:27" x14ac:dyDescent="0.35">
      <c r="C291" s="78"/>
      <c r="E291" t="s">
        <v>232</v>
      </c>
      <c r="G291" s="6" t="s">
        <v>55</v>
      </c>
      <c r="H291" s="177">
        <f t="array" ref="H291">SUM(IF(ISERROR(H51:Y287), 1))</f>
        <v>0</v>
      </c>
    </row>
    <row r="293" spans="2:27" x14ac:dyDescent="0.35">
      <c r="E293" t="s">
        <v>714</v>
      </c>
      <c r="G293" s="6" t="s">
        <v>55</v>
      </c>
      <c r="H293" s="177">
        <f>SUM(J293:Y293)</f>
        <v>0</v>
      </c>
      <c r="J293" s="177">
        <f t="shared" ref="J293:K293" si="368">IF(J121 + J123 &lt; 2, 0, 1)</f>
        <v>0</v>
      </c>
      <c r="K293" s="177">
        <f t="shared" si="368"/>
        <v>0</v>
      </c>
      <c r="L293" s="177">
        <f t="shared" ref="L293:M293" si="369">IF(L121 + L123 &lt; 2, 0, 1)</f>
        <v>0</v>
      </c>
      <c r="M293" s="177">
        <f t="shared" si="369"/>
        <v>0</v>
      </c>
      <c r="N293" s="177">
        <f t="shared" ref="N293:P293" si="370">IF(N121 + N123 &lt; 2, 0, 1)</f>
        <v>0</v>
      </c>
      <c r="O293" s="177">
        <f t="shared" si="370"/>
        <v>0</v>
      </c>
      <c r="P293" s="177">
        <f t="shared" si="370"/>
        <v>0</v>
      </c>
      <c r="Q293" s="177">
        <f t="shared" ref="Q293:S293" si="371">IF(Q121 + Q123 &lt; 2, 0, 1)</f>
        <v>0</v>
      </c>
      <c r="R293" s="177">
        <f t="shared" si="371"/>
        <v>0</v>
      </c>
      <c r="S293" s="177">
        <f t="shared" si="371"/>
        <v>0</v>
      </c>
      <c r="T293" s="177">
        <f t="shared" ref="T293:U293" si="372">IF(T121 + T123 &lt; 2, 0, 1)</f>
        <v>0</v>
      </c>
      <c r="U293" s="177">
        <f t="shared" si="372"/>
        <v>0</v>
      </c>
      <c r="V293" s="177">
        <f t="shared" ref="V293:W293" si="373">IF(V121 + V123 &lt; 2, 0, 1)</f>
        <v>0</v>
      </c>
      <c r="W293" s="177">
        <f t="shared" si="373"/>
        <v>0</v>
      </c>
      <c r="X293" s="177">
        <f t="shared" ref="X293:Y293" si="374">IF(X121 + X123 &lt; 2, 0, 1)</f>
        <v>0</v>
      </c>
      <c r="Y293" s="177">
        <f t="shared" si="374"/>
        <v>0</v>
      </c>
    </row>
    <row r="295" spans="2:27" x14ac:dyDescent="0.35">
      <c r="C295" s="78"/>
      <c r="E295" t="s">
        <v>239</v>
      </c>
      <c r="G295" s="6" t="s">
        <v>55</v>
      </c>
      <c r="H295" s="93">
        <f>H291 + H293</f>
        <v>0</v>
      </c>
    </row>
    <row r="297" spans="2:27" x14ac:dyDescent="0.35">
      <c r="B297" s="25" t="s">
        <v>106</v>
      </c>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row>
  </sheetData>
  <sheetProtection sheet="1" objects="1" formatCells="0" formatColumns="0" formatRows="0" sort="0" autoFilter="0"/>
  <conditionalFormatting sqref="H291">
    <cfRule type="cellIs" dxfId="79" priority="22" operator="greaterThan">
      <formula>0</formula>
    </cfRule>
  </conditionalFormatting>
  <conditionalFormatting sqref="H293">
    <cfRule type="cellIs" dxfId="78" priority="21" operator="greaterThan">
      <formula>0</formula>
    </cfRule>
  </conditionalFormatting>
  <conditionalFormatting sqref="A4:I4 Z4:XFD4">
    <cfRule type="expression" dxfId="77" priority="18">
      <formula>LEFT($A$4,1) &lt;&gt; "0"</formula>
    </cfRule>
  </conditionalFormatting>
  <conditionalFormatting sqref="N293:P293">
    <cfRule type="cellIs" dxfId="76" priority="17" operator="greaterThan">
      <formula>0</formula>
    </cfRule>
  </conditionalFormatting>
  <conditionalFormatting sqref="N4:P4">
    <cfRule type="expression" dxfId="75" priority="16">
      <formula>LEFT($A$4,1) &lt;&gt; "0"</formula>
    </cfRule>
  </conditionalFormatting>
  <conditionalFormatting sqref="L293:M293">
    <cfRule type="cellIs" dxfId="74" priority="15" operator="greaterThan">
      <formula>0</formula>
    </cfRule>
  </conditionalFormatting>
  <conditionalFormatting sqref="L4:M4">
    <cfRule type="expression" dxfId="73" priority="14">
      <formula>LEFT($A$4,1) &lt;&gt; "0"</formula>
    </cfRule>
  </conditionalFormatting>
  <conditionalFormatting sqref="J293:K293">
    <cfRule type="cellIs" dxfId="72" priority="13" operator="greaterThan">
      <formula>0</formula>
    </cfRule>
  </conditionalFormatting>
  <conditionalFormatting sqref="J4:K4">
    <cfRule type="expression" dxfId="71" priority="12">
      <formula>LEFT($A$4,1) &lt;&gt; "0"</formula>
    </cfRule>
  </conditionalFormatting>
  <conditionalFormatting sqref="Q293">
    <cfRule type="cellIs" dxfId="70" priority="11" operator="greaterThan">
      <formula>0</formula>
    </cfRule>
  </conditionalFormatting>
  <conditionalFormatting sqref="Q4">
    <cfRule type="expression" dxfId="69" priority="10">
      <formula>LEFT($A$4,1) &lt;&gt; "0"</formula>
    </cfRule>
  </conditionalFormatting>
  <conditionalFormatting sqref="R293:S293">
    <cfRule type="cellIs" dxfId="68" priority="9" operator="greaterThan">
      <formula>0</formula>
    </cfRule>
  </conditionalFormatting>
  <conditionalFormatting sqref="R4:S4">
    <cfRule type="expression" dxfId="67" priority="8">
      <formula>LEFT($A$4,1) &lt;&gt; "0"</formula>
    </cfRule>
  </conditionalFormatting>
  <conditionalFormatting sqref="T293:U293">
    <cfRule type="cellIs" dxfId="66" priority="7" operator="greaterThan">
      <formula>0</formula>
    </cfRule>
  </conditionalFormatting>
  <conditionalFormatting sqref="T4:U4">
    <cfRule type="expression" dxfId="65" priority="6">
      <formula>LEFT($A$4,1) &lt;&gt; "0"</formula>
    </cfRule>
  </conditionalFormatting>
  <conditionalFormatting sqref="V293:W293">
    <cfRule type="cellIs" dxfId="64" priority="5" operator="greaterThan">
      <formula>0</formula>
    </cfRule>
  </conditionalFormatting>
  <conditionalFormatting sqref="V4:W4">
    <cfRule type="expression" dxfId="63" priority="4">
      <formula>LEFT($A$4,1) &lt;&gt; "0"</formula>
    </cfRule>
  </conditionalFormatting>
  <conditionalFormatting sqref="X293:Y293">
    <cfRule type="cellIs" dxfId="62" priority="3" operator="greaterThan">
      <formula>0</formula>
    </cfRule>
  </conditionalFormatting>
  <conditionalFormatting sqref="X4:Y4">
    <cfRule type="expression" dxfId="61" priority="2">
      <formula>LEFT($A$4,1) &lt;&gt; "0"</formula>
    </cfRule>
  </conditionalFormatting>
  <conditionalFormatting sqref="H295">
    <cfRule type="cellIs" dxfId="60" priority="1" operator="greaterThan">
      <formula>0</formula>
    </cfRule>
  </conditionalFormatting>
  <hyperlinks>
    <hyperlink ref="B5:F5" location="'Model map'!A1" display="Click here to return to model map" xr:uid="{00000000-0004-0000-15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9" width="24.54296875" hidden="1" customWidth="1"/>
    <col min="30" max="30" width="3.54296875" hidden="1" customWidth="1"/>
    <col min="31" max="31" width="15.453125" hidden="1" customWidth="1"/>
    <col min="32" max="314" width="24.54296875" hidden="1" customWidth="1"/>
    <col min="315" max="16384" width="8.54296875" hidden="1"/>
  </cols>
  <sheetData>
    <row r="1" spans="1:27" s="1" customFormat="1" x14ac:dyDescent="0.35">
      <c r="A1" s="1" t="str">
        <f ca="1">MID(CELL("filename",A1),FIND("]",CELL("filename",A1))+1,255)</f>
        <v>Reactive power charges</v>
      </c>
    </row>
    <row r="2" spans="1:27" s="1" customFormat="1" x14ac:dyDescent="0.35">
      <c r="A2" s="1" t="str">
        <f>Cover!D21&amp;" - "&amp;Cover!D23</f>
        <v>Southern Electric Power Distribution - Final</v>
      </c>
    </row>
    <row r="3" spans="1:27" s="5" customFormat="1" x14ac:dyDescent="0.35">
      <c r="A3" s="5" t="str">
        <f>Cover!D2&amp;" - "&amp;Cover!D8&amp;" v"&amp;Cover!D10&amp;" - "&amp;Cover!D19</f>
        <v>CDCM charging model - Release for charge setting v9 - 2024/25</v>
      </c>
    </row>
    <row r="4" spans="1:27" x14ac:dyDescent="0.35">
      <c r="A4" s="11" t="str">
        <f>H254 &amp; IF(H254 = 1, " issue", " issues") &amp;" identified in checks on this sheet"</f>
        <v>0 issues identified in checks on this sheet</v>
      </c>
      <c r="B4" s="12"/>
      <c r="C4" s="12"/>
      <c r="D4" s="12"/>
      <c r="E4" s="12"/>
      <c r="F4" s="12"/>
      <c r="G4" s="12"/>
      <c r="H4" s="13"/>
      <c r="I4" s="13"/>
    </row>
    <row r="5" spans="1:27" ht="43.5" x14ac:dyDescent="0.3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3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35">
      <c r="C9" s="24" t="s">
        <v>660</v>
      </c>
      <c r="D9"/>
    </row>
    <row r="10" spans="1:27" x14ac:dyDescent="0.35">
      <c r="C10" s="24" t="s">
        <v>661</v>
      </c>
      <c r="D10"/>
      <c r="E10"/>
    </row>
    <row r="11" spans="1:27" x14ac:dyDescent="0.35">
      <c r="C11" s="81" t="s">
        <v>662</v>
      </c>
    </row>
    <row r="13" spans="1:27" x14ac:dyDescent="0.35">
      <c r="B13" s="25" t="s">
        <v>663</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5" spans="1:27" x14ac:dyDescent="0.35">
      <c r="C15" s="24" t="s">
        <v>664</v>
      </c>
    </row>
    <row r="17" spans="3:27" x14ac:dyDescent="0.35">
      <c r="C17" s="26" t="str">
        <f ca="1">INDEX('Version control'!$H$38:$H$61,MATCH($A$1,'Version control'!$F$38:$F$61,0),1)&amp;"-A: Inputs to reactive power charge calculations"</f>
        <v>Section 113-A: Inputs to reactive power charge calculations</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3:27" x14ac:dyDescent="0.35">
      <c r="C18" s="27"/>
      <c r="D18"/>
      <c r="E18" s="27"/>
    </row>
    <row r="19" spans="3:27" x14ac:dyDescent="0.35">
      <c r="D19" s="27" t="s">
        <v>285</v>
      </c>
    </row>
    <row r="20" spans="3:27" x14ac:dyDescent="0.35">
      <c r="D20" s="24" t="s">
        <v>665</v>
      </c>
      <c r="E20"/>
    </row>
    <row r="21" spans="3:27" x14ac:dyDescent="0.35">
      <c r="C21" s="78"/>
      <c r="E21" s="19" t="s">
        <v>189</v>
      </c>
      <c r="F21" s="19"/>
      <c r="G21" s="19" t="s">
        <v>666</v>
      </c>
      <c r="H21" s="73"/>
    </row>
    <row r="22" spans="3:27" x14ac:dyDescent="0.35">
      <c r="C22" s="78"/>
      <c r="E22" t="s">
        <v>191</v>
      </c>
      <c r="G22" t="s">
        <v>666</v>
      </c>
      <c r="H22" s="110">
        <f t="array" ref="H22:H30">TRANSPOSE('Inputs by network level'!K21:S21)</f>
        <v>0.22971048873866273</v>
      </c>
    </row>
    <row r="23" spans="3:27" x14ac:dyDescent="0.35">
      <c r="C23" s="78"/>
      <c r="E23" t="s">
        <v>192</v>
      </c>
      <c r="G23" t="s">
        <v>666</v>
      </c>
      <c r="H23" s="110">
        <v>0.22971048873866273</v>
      </c>
    </row>
    <row r="24" spans="3:27" x14ac:dyDescent="0.35">
      <c r="C24" s="78"/>
      <c r="E24" t="s">
        <v>193</v>
      </c>
      <c r="G24" t="s">
        <v>666</v>
      </c>
      <c r="H24" s="110">
        <v>0.22971048873866273</v>
      </c>
    </row>
    <row r="25" spans="3:27" x14ac:dyDescent="0.35">
      <c r="C25" s="78"/>
      <c r="E25" t="s">
        <v>194</v>
      </c>
      <c r="G25" t="s">
        <v>666</v>
      </c>
      <c r="H25" s="110">
        <v>0.22971048873866273</v>
      </c>
    </row>
    <row r="26" spans="3:27" x14ac:dyDescent="0.35">
      <c r="C26" s="78"/>
      <c r="E26" t="s">
        <v>195</v>
      </c>
      <c r="G26" t="s">
        <v>666</v>
      </c>
      <c r="H26" s="110">
        <v>0.22971048873866273</v>
      </c>
    </row>
    <row r="27" spans="3:27" x14ac:dyDescent="0.35">
      <c r="C27" s="78"/>
      <c r="E27" t="s">
        <v>196</v>
      </c>
      <c r="G27" t="s">
        <v>666</v>
      </c>
      <c r="H27" s="110">
        <v>0</v>
      </c>
    </row>
    <row r="28" spans="3:27" x14ac:dyDescent="0.35">
      <c r="C28" s="78"/>
      <c r="E28" t="s">
        <v>197</v>
      </c>
      <c r="G28" t="s">
        <v>666</v>
      </c>
      <c r="H28" s="110">
        <v>0.22971048873866273</v>
      </c>
    </row>
    <row r="29" spans="3:27" x14ac:dyDescent="0.35">
      <c r="C29" s="78"/>
      <c r="E29" t="s">
        <v>198</v>
      </c>
      <c r="G29" t="s">
        <v>666</v>
      </c>
      <c r="H29" s="110">
        <v>0.22971048873866273</v>
      </c>
    </row>
    <row r="30" spans="3:27" x14ac:dyDescent="0.35">
      <c r="C30" s="78"/>
      <c r="E30" t="s">
        <v>199</v>
      </c>
      <c r="G30" t="s">
        <v>666</v>
      </c>
      <c r="H30" s="110">
        <v>0.22971048873866273</v>
      </c>
    </row>
    <row r="31" spans="3:27" x14ac:dyDescent="0.35">
      <c r="C31" s="78"/>
      <c r="E31" t="s">
        <v>375</v>
      </c>
      <c r="G31" t="s">
        <v>666</v>
      </c>
      <c r="H31" s="69"/>
    </row>
    <row r="32" spans="3:27" x14ac:dyDescent="0.35">
      <c r="C32" s="78"/>
      <c r="E32" s="28" t="s">
        <v>376</v>
      </c>
      <c r="F32" s="28"/>
      <c r="G32" s="28" t="s">
        <v>666</v>
      </c>
      <c r="H32" s="71"/>
    </row>
    <row r="33" spans="3:8" x14ac:dyDescent="0.35">
      <c r="C33" s="78"/>
      <c r="H33" s="79"/>
    </row>
    <row r="34" spans="3:8" x14ac:dyDescent="0.35">
      <c r="D34" s="78" t="s">
        <v>393</v>
      </c>
      <c r="H34" s="79"/>
    </row>
    <row r="35" spans="3:8" x14ac:dyDescent="0.35">
      <c r="C35" s="78"/>
      <c r="E35" s="19" t="s">
        <v>189</v>
      </c>
      <c r="F35" s="19"/>
      <c r="G35" s="54" t="s">
        <v>283</v>
      </c>
      <c r="H35" s="114">
        <f t="array" ref="H35:H44">TRANSPOSE('Load &amp; loss characteristics'!J29:S29)</f>
        <v>1</v>
      </c>
    </row>
    <row r="36" spans="3:8" x14ac:dyDescent="0.35">
      <c r="C36" s="78"/>
      <c r="E36" t="s">
        <v>191</v>
      </c>
      <c r="G36" s="23" t="s">
        <v>283</v>
      </c>
      <c r="H36" s="110">
        <v>1</v>
      </c>
    </row>
    <row r="37" spans="3:8" x14ac:dyDescent="0.35">
      <c r="C37" s="78"/>
      <c r="E37" t="s">
        <v>192</v>
      </c>
      <c r="G37" s="23" t="s">
        <v>283</v>
      </c>
      <c r="H37" s="110">
        <v>1.004</v>
      </c>
    </row>
    <row r="38" spans="3:8" x14ac:dyDescent="0.35">
      <c r="C38" s="78"/>
      <c r="E38" t="s">
        <v>193</v>
      </c>
      <c r="G38" s="23" t="s">
        <v>283</v>
      </c>
      <c r="H38" s="110">
        <v>1.008</v>
      </c>
    </row>
    <row r="39" spans="3:8" x14ac:dyDescent="0.35">
      <c r="C39" s="78"/>
      <c r="E39" t="s">
        <v>194</v>
      </c>
      <c r="G39" s="23" t="s">
        <v>283</v>
      </c>
      <c r="H39" s="110">
        <v>1.0129999999999999</v>
      </c>
    </row>
    <row r="40" spans="3:8" x14ac:dyDescent="0.35">
      <c r="C40" s="78"/>
      <c r="E40" t="s">
        <v>195</v>
      </c>
      <c r="G40" s="23" t="s">
        <v>283</v>
      </c>
      <c r="H40" s="110">
        <v>1.018</v>
      </c>
    </row>
    <row r="41" spans="3:8" x14ac:dyDescent="0.35">
      <c r="C41" s="78"/>
      <c r="E41" t="s">
        <v>196</v>
      </c>
      <c r="G41" s="23" t="s">
        <v>283</v>
      </c>
      <c r="H41" s="110">
        <v>1.018</v>
      </c>
    </row>
    <row r="42" spans="3:8" x14ac:dyDescent="0.35">
      <c r="C42" s="78"/>
      <c r="E42" t="s">
        <v>197</v>
      </c>
      <c r="G42" s="23" t="s">
        <v>283</v>
      </c>
      <c r="H42" s="110">
        <v>1.0269999999999999</v>
      </c>
    </row>
    <row r="43" spans="3:8" x14ac:dyDescent="0.35">
      <c r="C43" s="78"/>
      <c r="E43" t="s">
        <v>198</v>
      </c>
      <c r="G43" s="23" t="s">
        <v>283</v>
      </c>
      <c r="H43" s="110">
        <v>1.0429999999999999</v>
      </c>
    </row>
    <row r="44" spans="3:8" x14ac:dyDescent="0.35">
      <c r="C44" s="78"/>
      <c r="E44" t="s">
        <v>199</v>
      </c>
      <c r="G44" s="23" t="s">
        <v>283</v>
      </c>
      <c r="H44" s="110">
        <v>1.0900000000000001</v>
      </c>
    </row>
    <row r="45" spans="3:8" x14ac:dyDescent="0.35">
      <c r="C45" s="78"/>
      <c r="E45" t="s">
        <v>375</v>
      </c>
      <c r="G45" s="23" t="s">
        <v>283</v>
      </c>
      <c r="H45" s="69"/>
    </row>
    <row r="46" spans="3:8" x14ac:dyDescent="0.35">
      <c r="C46" s="78"/>
      <c r="E46" s="28" t="s">
        <v>376</v>
      </c>
      <c r="F46" s="28"/>
      <c r="G46" s="57" t="s">
        <v>283</v>
      </c>
      <c r="H46" s="71"/>
    </row>
    <row r="47" spans="3:8" x14ac:dyDescent="0.35">
      <c r="C47" s="78"/>
      <c r="H47" s="79"/>
    </row>
    <row r="48" spans="3:8" x14ac:dyDescent="0.35">
      <c r="D48" s="27" t="s">
        <v>667</v>
      </c>
      <c r="H48" s="79"/>
    </row>
    <row r="49" spans="3:8" x14ac:dyDescent="0.35">
      <c r="C49" s="78"/>
      <c r="E49" s="19" t="s">
        <v>189</v>
      </c>
      <c r="F49" s="19"/>
      <c r="G49" s="19" t="s">
        <v>584</v>
      </c>
      <c r="H49" s="73"/>
    </row>
    <row r="50" spans="3:8" x14ac:dyDescent="0.35">
      <c r="C50" s="78"/>
      <c r="E50" t="s">
        <v>191</v>
      </c>
      <c r="G50" t="s">
        <v>584</v>
      </c>
      <c r="H50" s="69"/>
    </row>
    <row r="51" spans="3:8" x14ac:dyDescent="0.35">
      <c r="C51" s="78"/>
      <c r="E51" t="s">
        <v>192</v>
      </c>
      <c r="G51" t="s">
        <v>584</v>
      </c>
      <c r="H51" s="110">
        <f t="array" ref="H51:H58">TRANSPOSE('Unit costs'!L114:S114)</f>
        <v>11.019656495328036</v>
      </c>
    </row>
    <row r="52" spans="3:8" x14ac:dyDescent="0.35">
      <c r="C52" s="78"/>
      <c r="E52" t="s">
        <v>193</v>
      </c>
      <c r="G52" t="s">
        <v>584</v>
      </c>
      <c r="H52" s="110">
        <v>2.86267239600968</v>
      </c>
    </row>
    <row r="53" spans="3:8" x14ac:dyDescent="0.35">
      <c r="C53" s="78"/>
      <c r="E53" t="s">
        <v>194</v>
      </c>
      <c r="G53" t="s">
        <v>584</v>
      </c>
      <c r="H53" s="110">
        <v>7.9257295363196567</v>
      </c>
    </row>
    <row r="54" spans="3:8" x14ac:dyDescent="0.35">
      <c r="C54" s="78"/>
      <c r="E54" t="s">
        <v>195</v>
      </c>
      <c r="G54" t="s">
        <v>584</v>
      </c>
      <c r="H54" s="110">
        <v>5.6350686357328161</v>
      </c>
    </row>
    <row r="55" spans="3:8" x14ac:dyDescent="0.35">
      <c r="C55" s="78"/>
      <c r="E55" t="s">
        <v>196</v>
      </c>
      <c r="G55" t="s">
        <v>584</v>
      </c>
      <c r="H55" s="110">
        <v>0</v>
      </c>
    </row>
    <row r="56" spans="3:8" x14ac:dyDescent="0.35">
      <c r="C56" s="78"/>
      <c r="E56" t="s">
        <v>197</v>
      </c>
      <c r="G56" t="s">
        <v>584</v>
      </c>
      <c r="H56" s="110">
        <v>18.398262757384991</v>
      </c>
    </row>
    <row r="57" spans="3:8" x14ac:dyDescent="0.35">
      <c r="C57" s="78"/>
      <c r="E57" t="s">
        <v>198</v>
      </c>
      <c r="G57" t="s">
        <v>584</v>
      </c>
      <c r="H57" s="110">
        <v>7.1754364648735089</v>
      </c>
    </row>
    <row r="58" spans="3:8" x14ac:dyDescent="0.35">
      <c r="C58" s="78"/>
      <c r="E58" t="s">
        <v>199</v>
      </c>
      <c r="G58" t="s">
        <v>584</v>
      </c>
      <c r="H58" s="110">
        <v>19.376652250101426</v>
      </c>
    </row>
    <row r="59" spans="3:8" x14ac:dyDescent="0.35">
      <c r="C59" s="78"/>
      <c r="E59" t="s">
        <v>375</v>
      </c>
      <c r="G59" t="s">
        <v>584</v>
      </c>
      <c r="H59" s="69"/>
    </row>
    <row r="60" spans="3:8" x14ac:dyDescent="0.35">
      <c r="C60" s="78"/>
      <c r="E60" s="28" t="s">
        <v>376</v>
      </c>
      <c r="F60" s="28"/>
      <c r="G60" s="28" t="s">
        <v>584</v>
      </c>
      <c r="H60" s="71"/>
    </row>
    <row r="61" spans="3:8" x14ac:dyDescent="0.35">
      <c r="C61" s="78"/>
      <c r="H61" s="79"/>
    </row>
    <row r="62" spans="3:8" x14ac:dyDescent="0.35">
      <c r="C62" s="78"/>
      <c r="D62" s="27" t="s">
        <v>668</v>
      </c>
      <c r="E62"/>
      <c r="H62" s="79"/>
    </row>
    <row r="63" spans="3:8" x14ac:dyDescent="0.35">
      <c r="C63" s="78"/>
      <c r="E63" s="19" t="s">
        <v>189</v>
      </c>
      <c r="F63" s="19"/>
      <c r="G63" s="19" t="s">
        <v>584</v>
      </c>
      <c r="H63" s="114">
        <f t="array" ref="H63:H72">TRANSPOSE('Unit costs'!J115:S115)</f>
        <v>3.505229242799758</v>
      </c>
    </row>
    <row r="64" spans="3:8" x14ac:dyDescent="0.35">
      <c r="C64" s="78"/>
      <c r="E64" t="s">
        <v>191</v>
      </c>
      <c r="G64" t="s">
        <v>584</v>
      </c>
      <c r="H64" s="110">
        <v>0</v>
      </c>
    </row>
    <row r="65" spans="3:42" x14ac:dyDescent="0.35">
      <c r="C65" s="78"/>
      <c r="E65" t="s">
        <v>192</v>
      </c>
      <c r="G65" t="s">
        <v>584</v>
      </c>
      <c r="H65" s="110">
        <v>7.3409039550583453</v>
      </c>
    </row>
    <row r="66" spans="3:42" x14ac:dyDescent="0.35">
      <c r="C66" s="78"/>
      <c r="E66" t="s">
        <v>193</v>
      </c>
      <c r="G66" t="s">
        <v>584</v>
      </c>
      <c r="H66" s="110">
        <v>1.9070107242284089</v>
      </c>
    </row>
    <row r="67" spans="3:42" x14ac:dyDescent="0.35">
      <c r="C67" s="78"/>
      <c r="E67" t="s">
        <v>194</v>
      </c>
      <c r="G67" t="s">
        <v>584</v>
      </c>
      <c r="H67" s="110">
        <v>5.2798396505879222</v>
      </c>
    </row>
    <row r="68" spans="3:42" x14ac:dyDescent="0.35">
      <c r="C68" s="78"/>
      <c r="E68" t="s">
        <v>195</v>
      </c>
      <c r="G68" t="s">
        <v>584</v>
      </c>
      <c r="H68" s="110">
        <v>3.7538826779776913</v>
      </c>
    </row>
    <row r="69" spans="3:42" x14ac:dyDescent="0.35">
      <c r="C69" s="78"/>
      <c r="E69" t="s">
        <v>196</v>
      </c>
      <c r="G69" t="s">
        <v>584</v>
      </c>
      <c r="H69" s="110">
        <v>0</v>
      </c>
    </row>
    <row r="70" spans="3:42" x14ac:dyDescent="0.35">
      <c r="C70" s="78"/>
      <c r="E70" t="s">
        <v>197</v>
      </c>
      <c r="G70" t="s">
        <v>584</v>
      </c>
      <c r="H70" s="110">
        <v>12.256269503423358</v>
      </c>
    </row>
    <row r="71" spans="3:42" x14ac:dyDescent="0.35">
      <c r="C71" s="78"/>
      <c r="E71" t="s">
        <v>198</v>
      </c>
      <c r="G71" t="s">
        <v>584</v>
      </c>
      <c r="H71" s="110">
        <v>4.780021042088916</v>
      </c>
    </row>
    <row r="72" spans="3:42" x14ac:dyDescent="0.35">
      <c r="C72" s="78"/>
      <c r="E72" t="s">
        <v>199</v>
      </c>
      <c r="G72" t="s">
        <v>584</v>
      </c>
      <c r="H72" s="110">
        <v>12.908037850260179</v>
      </c>
    </row>
    <row r="73" spans="3:42" x14ac:dyDescent="0.35">
      <c r="C73" s="78"/>
      <c r="E73" t="s">
        <v>375</v>
      </c>
      <c r="G73" t="s">
        <v>584</v>
      </c>
      <c r="H73" s="69"/>
    </row>
    <row r="74" spans="3:42" x14ac:dyDescent="0.35">
      <c r="C74" s="78"/>
      <c r="E74" s="28" t="s">
        <v>376</v>
      </c>
      <c r="F74" s="28"/>
      <c r="G74" s="28" t="s">
        <v>584</v>
      </c>
      <c r="H74" s="71"/>
    </row>
    <row r="75" spans="3:42" x14ac:dyDescent="0.35">
      <c r="C75" s="78"/>
      <c r="H75" s="53"/>
    </row>
    <row r="76" spans="3:42" x14ac:dyDescent="0.35">
      <c r="D76" s="78" t="s">
        <v>669</v>
      </c>
    </row>
    <row r="77" spans="3:42" x14ac:dyDescent="0.35">
      <c r="D77" s="24" t="s">
        <v>670</v>
      </c>
      <c r="E77" s="193"/>
    </row>
    <row r="78" spans="3:42" x14ac:dyDescent="0.35">
      <c r="C78" s="78"/>
      <c r="E78" t="s">
        <v>671</v>
      </c>
      <c r="G78" t="s">
        <v>672</v>
      </c>
      <c r="I78" t="s">
        <v>154</v>
      </c>
      <c r="J78" s="159">
        <f>'Fixed inputs'!J138</f>
        <v>0</v>
      </c>
      <c r="K78" s="159">
        <f>'Fixed inputs'!K138</f>
        <v>0</v>
      </c>
      <c r="L78" s="159">
        <f>'Fixed inputs'!L138</f>
        <v>0</v>
      </c>
      <c r="M78" s="159">
        <f>'Fixed inputs'!M138</f>
        <v>0</v>
      </c>
      <c r="N78" s="159">
        <f>'Fixed inputs'!N138</f>
        <v>1</v>
      </c>
      <c r="O78" s="159">
        <f>'Fixed inputs'!O138</f>
        <v>1</v>
      </c>
      <c r="P78" s="159">
        <f>'Fixed inputs'!P138</f>
        <v>1</v>
      </c>
      <c r="Q78" s="159">
        <f>'Fixed inputs'!Q138</f>
        <v>0</v>
      </c>
      <c r="R78" s="159">
        <f>'Fixed inputs'!R138</f>
        <v>0</v>
      </c>
      <c r="S78" s="159">
        <f>'Fixed inputs'!S138</f>
        <v>0</v>
      </c>
      <c r="T78" s="159">
        <f>'Fixed inputs'!T138</f>
        <v>1</v>
      </c>
      <c r="U78" s="159">
        <f>'Fixed inputs'!U138</f>
        <v>0</v>
      </c>
      <c r="V78" s="159">
        <f>'Fixed inputs'!V138</f>
        <v>1</v>
      </c>
      <c r="W78" s="159">
        <f>'Fixed inputs'!W138</f>
        <v>0</v>
      </c>
      <c r="X78" s="159">
        <f>'Fixed inputs'!X138</f>
        <v>1</v>
      </c>
      <c r="Y78" s="159">
        <f>'Fixed inputs'!Y138</f>
        <v>0</v>
      </c>
      <c r="AA78" t="s">
        <v>223</v>
      </c>
    </row>
    <row r="79" spans="3:42" x14ac:dyDescent="0.35">
      <c r="C79" s="78"/>
    </row>
    <row r="80" spans="3:42" x14ac:dyDescent="0.35">
      <c r="D80" s="27" t="s">
        <v>120</v>
      </c>
      <c r="E80"/>
      <c r="H80" s="13"/>
      <c r="J80" s="53"/>
      <c r="K80" s="53"/>
      <c r="L80" s="53"/>
      <c r="M80" s="53"/>
      <c r="N80" s="53"/>
      <c r="O80" s="53"/>
      <c r="P80" s="53"/>
      <c r="Q80" s="53"/>
      <c r="R80" s="53"/>
      <c r="S80" s="53"/>
      <c r="T80" s="53"/>
      <c r="U80" s="53"/>
      <c r="V80" s="53"/>
      <c r="W80" s="53"/>
      <c r="X80" s="53"/>
      <c r="Y80" s="53"/>
      <c r="AP80" s="3"/>
    </row>
    <row r="81" spans="3:42" x14ac:dyDescent="0.35">
      <c r="C81" s="27"/>
      <c r="D81"/>
      <c r="E81" s="19" t="s">
        <v>191</v>
      </c>
      <c r="F81" s="19"/>
      <c r="G81" s="19" t="s">
        <v>167</v>
      </c>
      <c r="H81" s="119"/>
      <c r="I81" s="19"/>
      <c r="J81" s="97">
        <f>'Standing charge factors'!J44</f>
        <v>0</v>
      </c>
      <c r="K81" s="97">
        <f>'Standing charge factors'!K44</f>
        <v>0</v>
      </c>
      <c r="L81" s="97">
        <f>'Standing charge factors'!L44</f>
        <v>0</v>
      </c>
      <c r="M81" s="97">
        <f>'Standing charge factors'!M44</f>
        <v>0</v>
      </c>
      <c r="N81" s="97">
        <f>'Standing charge factors'!N44</f>
        <v>0</v>
      </c>
      <c r="O81" s="97">
        <f>'Standing charge factors'!O44</f>
        <v>0</v>
      </c>
      <c r="P81" s="97">
        <f>'Standing charge factors'!P44</f>
        <v>0</v>
      </c>
      <c r="Q81" s="97">
        <f>'Standing charge factors'!Q44</f>
        <v>0</v>
      </c>
      <c r="R81" s="97">
        <f>'Standing charge factors'!R44</f>
        <v>0</v>
      </c>
      <c r="S81" s="97">
        <f>'Standing charge factors'!S44</f>
        <v>0</v>
      </c>
      <c r="T81" s="97">
        <f>'Standing charge factors'!T44</f>
        <v>0</v>
      </c>
      <c r="U81" s="97">
        <f>'Standing charge factors'!U44</f>
        <v>0</v>
      </c>
      <c r="V81" s="97">
        <f>'Standing charge factors'!V44</f>
        <v>0</v>
      </c>
      <c r="W81" s="97">
        <f>'Standing charge factors'!W44</f>
        <v>0</v>
      </c>
      <c r="X81" s="97">
        <f>'Standing charge factors'!X44</f>
        <v>0</v>
      </c>
      <c r="Y81" s="97">
        <f>'Standing charge factors'!Y44</f>
        <v>0</v>
      </c>
      <c r="AP81" s="3"/>
    </row>
    <row r="82" spans="3:42" x14ac:dyDescent="0.35">
      <c r="C82" s="27"/>
      <c r="D82"/>
      <c r="E82" t="s">
        <v>192</v>
      </c>
      <c r="G82" t="s">
        <v>167</v>
      </c>
      <c r="H82" s="53"/>
      <c r="J82" s="21">
        <f>'Standing charge factors'!J45</f>
        <v>0</v>
      </c>
      <c r="K82" s="21">
        <f>'Standing charge factors'!K45</f>
        <v>0</v>
      </c>
      <c r="L82" s="21">
        <f>'Standing charge factors'!L45</f>
        <v>0</v>
      </c>
      <c r="M82" s="21">
        <f>'Standing charge factors'!M45</f>
        <v>0</v>
      </c>
      <c r="N82" s="21">
        <f>'Standing charge factors'!N45</f>
        <v>0</v>
      </c>
      <c r="O82" s="21">
        <f>'Standing charge factors'!O45</f>
        <v>0</v>
      </c>
      <c r="P82" s="21">
        <f>'Standing charge factors'!P45</f>
        <v>0</v>
      </c>
      <c r="Q82" s="21">
        <f>'Standing charge factors'!Q45</f>
        <v>0</v>
      </c>
      <c r="R82" s="21">
        <f>'Standing charge factors'!R45</f>
        <v>0</v>
      </c>
      <c r="S82" s="21">
        <f>'Standing charge factors'!S45</f>
        <v>0</v>
      </c>
      <c r="T82" s="21">
        <f>'Standing charge factors'!T45</f>
        <v>0</v>
      </c>
      <c r="U82" s="21">
        <f>'Standing charge factors'!U45</f>
        <v>0</v>
      </c>
      <c r="V82" s="21">
        <f>'Standing charge factors'!V45</f>
        <v>0</v>
      </c>
      <c r="W82" s="21">
        <f>'Standing charge factors'!W45</f>
        <v>0</v>
      </c>
      <c r="X82" s="21">
        <f>'Standing charge factors'!X45</f>
        <v>0</v>
      </c>
      <c r="Y82" s="21">
        <f>'Standing charge factors'!Y45</f>
        <v>0</v>
      </c>
      <c r="AP82" s="3"/>
    </row>
    <row r="83" spans="3:42" x14ac:dyDescent="0.35">
      <c r="C83" s="27"/>
      <c r="D83"/>
      <c r="E83" t="s">
        <v>193</v>
      </c>
      <c r="G83" t="s">
        <v>167</v>
      </c>
      <c r="H83" s="53"/>
      <c r="J83" s="21">
        <f>'Standing charge factors'!J46</f>
        <v>0</v>
      </c>
      <c r="K83" s="21">
        <f>'Standing charge factors'!K46</f>
        <v>0</v>
      </c>
      <c r="L83" s="21">
        <f>'Standing charge factors'!L46</f>
        <v>0</v>
      </c>
      <c r="M83" s="21">
        <f>'Standing charge factors'!M46</f>
        <v>0</v>
      </c>
      <c r="N83" s="21">
        <f>'Standing charge factors'!N46</f>
        <v>0</v>
      </c>
      <c r="O83" s="21">
        <f>'Standing charge factors'!O46</f>
        <v>0</v>
      </c>
      <c r="P83" s="21">
        <f>'Standing charge factors'!P46</f>
        <v>0</v>
      </c>
      <c r="Q83" s="21">
        <f>'Standing charge factors'!Q46</f>
        <v>0</v>
      </c>
      <c r="R83" s="21">
        <f>'Standing charge factors'!R46</f>
        <v>0</v>
      </c>
      <c r="S83" s="21">
        <f>'Standing charge factors'!S46</f>
        <v>0</v>
      </c>
      <c r="T83" s="21">
        <f>'Standing charge factors'!T46</f>
        <v>0</v>
      </c>
      <c r="U83" s="21">
        <f>'Standing charge factors'!U46</f>
        <v>0</v>
      </c>
      <c r="V83" s="21">
        <f>'Standing charge factors'!V46</f>
        <v>0</v>
      </c>
      <c r="W83" s="21">
        <f>'Standing charge factors'!W46</f>
        <v>0</v>
      </c>
      <c r="X83" s="21">
        <f>'Standing charge factors'!X46</f>
        <v>0</v>
      </c>
      <c r="Y83" s="21">
        <f>'Standing charge factors'!Y46</f>
        <v>0</v>
      </c>
      <c r="AP83" s="3"/>
    </row>
    <row r="84" spans="3:42" x14ac:dyDescent="0.35">
      <c r="C84" s="27"/>
      <c r="D84"/>
      <c r="E84" t="s">
        <v>194</v>
      </c>
      <c r="G84" t="s">
        <v>167</v>
      </c>
      <c r="H84" s="53"/>
      <c r="J84" s="21">
        <f>'Standing charge factors'!J47</f>
        <v>0</v>
      </c>
      <c r="K84" s="21">
        <f>'Standing charge factors'!K47</f>
        <v>0</v>
      </c>
      <c r="L84" s="21">
        <f>'Standing charge factors'!L47</f>
        <v>0</v>
      </c>
      <c r="M84" s="21">
        <f>'Standing charge factors'!M47</f>
        <v>0</v>
      </c>
      <c r="N84" s="21">
        <f>'Standing charge factors'!N47</f>
        <v>0</v>
      </c>
      <c r="O84" s="21">
        <f>'Standing charge factors'!O47</f>
        <v>0</v>
      </c>
      <c r="P84" s="21">
        <f>'Standing charge factors'!P47</f>
        <v>0.2</v>
      </c>
      <c r="Q84" s="21">
        <f>'Standing charge factors'!Q47</f>
        <v>0</v>
      </c>
      <c r="R84" s="21">
        <f>'Standing charge factors'!R47</f>
        <v>0</v>
      </c>
      <c r="S84" s="21">
        <f>'Standing charge factors'!S47</f>
        <v>0</v>
      </c>
      <c r="T84" s="21">
        <f>'Standing charge factors'!T47</f>
        <v>0</v>
      </c>
      <c r="U84" s="21">
        <f>'Standing charge factors'!U47</f>
        <v>0</v>
      </c>
      <c r="V84" s="21">
        <f>'Standing charge factors'!V47</f>
        <v>0</v>
      </c>
      <c r="W84" s="21">
        <f>'Standing charge factors'!W47</f>
        <v>0</v>
      </c>
      <c r="X84" s="21">
        <f>'Standing charge factors'!X47</f>
        <v>0</v>
      </c>
      <c r="Y84" s="21">
        <f>'Standing charge factors'!Y47</f>
        <v>0</v>
      </c>
      <c r="AP84" s="3"/>
    </row>
    <row r="85" spans="3:42" x14ac:dyDescent="0.35">
      <c r="C85" s="27"/>
      <c r="D85"/>
      <c r="E85" t="s">
        <v>195</v>
      </c>
      <c r="G85" t="s">
        <v>167</v>
      </c>
      <c r="H85" s="53"/>
      <c r="J85" s="21">
        <f>'Standing charge factors'!J48</f>
        <v>0</v>
      </c>
      <c r="K85" s="21">
        <f>'Standing charge factors'!K48</f>
        <v>0</v>
      </c>
      <c r="L85" s="21">
        <f>'Standing charge factors'!L48</f>
        <v>0</v>
      </c>
      <c r="M85" s="21">
        <f>'Standing charge factors'!M48</f>
        <v>0</v>
      </c>
      <c r="N85" s="21">
        <f>'Standing charge factors'!N48</f>
        <v>0</v>
      </c>
      <c r="O85" s="21">
        <f>'Standing charge factors'!O48</f>
        <v>0</v>
      </c>
      <c r="P85" s="21">
        <f>'Standing charge factors'!P48</f>
        <v>1</v>
      </c>
      <c r="Q85" s="21">
        <f>'Standing charge factors'!Q48</f>
        <v>0</v>
      </c>
      <c r="R85" s="21">
        <f>'Standing charge factors'!R48</f>
        <v>0</v>
      </c>
      <c r="S85" s="21">
        <f>'Standing charge factors'!S48</f>
        <v>0</v>
      </c>
      <c r="T85" s="21">
        <f>'Standing charge factors'!T48</f>
        <v>0</v>
      </c>
      <c r="U85" s="21">
        <f>'Standing charge factors'!U48</f>
        <v>0</v>
      </c>
      <c r="V85" s="21">
        <f>'Standing charge factors'!V48</f>
        <v>0</v>
      </c>
      <c r="W85" s="21">
        <f>'Standing charge factors'!W48</f>
        <v>0</v>
      </c>
      <c r="X85" s="21">
        <f>'Standing charge factors'!X48</f>
        <v>0</v>
      </c>
      <c r="Y85" s="21">
        <f>'Standing charge factors'!Y48</f>
        <v>0</v>
      </c>
      <c r="AP85" s="3"/>
    </row>
    <row r="86" spans="3:42" x14ac:dyDescent="0.35">
      <c r="C86" s="27"/>
      <c r="D86"/>
      <c r="E86" t="s">
        <v>196</v>
      </c>
      <c r="G86" t="s">
        <v>167</v>
      </c>
      <c r="H86" s="53"/>
      <c r="J86" s="21">
        <f>'Standing charge factors'!J49</f>
        <v>0</v>
      </c>
      <c r="K86" s="21">
        <f>'Standing charge factors'!K49</f>
        <v>0</v>
      </c>
      <c r="L86" s="21">
        <f>'Standing charge factors'!L49</f>
        <v>0</v>
      </c>
      <c r="M86" s="21">
        <f>'Standing charge factors'!M49</f>
        <v>0</v>
      </c>
      <c r="N86" s="21">
        <f>'Standing charge factors'!N49</f>
        <v>0</v>
      </c>
      <c r="O86" s="21">
        <f>'Standing charge factors'!O49</f>
        <v>0</v>
      </c>
      <c r="P86" s="21">
        <f>'Standing charge factors'!P49</f>
        <v>1</v>
      </c>
      <c r="Q86" s="21">
        <f>'Standing charge factors'!Q49</f>
        <v>0</v>
      </c>
      <c r="R86" s="21">
        <f>'Standing charge factors'!R49</f>
        <v>0</v>
      </c>
      <c r="S86" s="21">
        <f>'Standing charge factors'!S49</f>
        <v>0</v>
      </c>
      <c r="T86" s="21">
        <f>'Standing charge factors'!T49</f>
        <v>0</v>
      </c>
      <c r="U86" s="21">
        <f>'Standing charge factors'!U49</f>
        <v>0</v>
      </c>
      <c r="V86" s="21">
        <f>'Standing charge factors'!V49</f>
        <v>0</v>
      </c>
      <c r="W86" s="21">
        <f>'Standing charge factors'!W49</f>
        <v>0</v>
      </c>
      <c r="X86" s="21">
        <f>'Standing charge factors'!X49</f>
        <v>0</v>
      </c>
      <c r="Y86" s="21">
        <f>'Standing charge factors'!Y49</f>
        <v>0</v>
      </c>
      <c r="AP86" s="3"/>
    </row>
    <row r="87" spans="3:42" x14ac:dyDescent="0.35">
      <c r="C87" s="27"/>
      <c r="D87"/>
      <c r="E87" t="s">
        <v>197</v>
      </c>
      <c r="G87" t="s">
        <v>167</v>
      </c>
      <c r="H87" s="53"/>
      <c r="J87" s="21">
        <f>'Standing charge factors'!J50</f>
        <v>0</v>
      </c>
      <c r="K87" s="21">
        <f>'Standing charge factors'!K50</f>
        <v>0</v>
      </c>
      <c r="L87" s="21">
        <f>'Standing charge factors'!L50</f>
        <v>0</v>
      </c>
      <c r="M87" s="21">
        <f>'Standing charge factors'!M50</f>
        <v>0</v>
      </c>
      <c r="N87" s="21">
        <f>'Standing charge factors'!N50</f>
        <v>0.2</v>
      </c>
      <c r="O87" s="21">
        <f>'Standing charge factors'!O50</f>
        <v>1</v>
      </c>
      <c r="P87" s="21">
        <f>'Standing charge factors'!P50</f>
        <v>1</v>
      </c>
      <c r="Q87" s="21">
        <f>'Standing charge factors'!Q50</f>
        <v>0</v>
      </c>
      <c r="R87" s="21">
        <f>'Standing charge factors'!R50</f>
        <v>0</v>
      </c>
      <c r="S87" s="21">
        <f>'Standing charge factors'!S50</f>
        <v>0</v>
      </c>
      <c r="T87" s="21">
        <f>'Standing charge factors'!T50</f>
        <v>0</v>
      </c>
      <c r="U87" s="21">
        <f>'Standing charge factors'!U50</f>
        <v>0</v>
      </c>
      <c r="V87" s="21">
        <f>'Standing charge factors'!V50</f>
        <v>0</v>
      </c>
      <c r="W87" s="21">
        <f>'Standing charge factors'!W50</f>
        <v>0</v>
      </c>
      <c r="X87" s="21">
        <f>'Standing charge factors'!X50</f>
        <v>0</v>
      </c>
      <c r="Y87" s="21">
        <f>'Standing charge factors'!Y50</f>
        <v>0</v>
      </c>
      <c r="AP87" s="3"/>
    </row>
    <row r="88" spans="3:42" x14ac:dyDescent="0.35">
      <c r="C88" s="27"/>
      <c r="D88"/>
      <c r="E88" t="s">
        <v>198</v>
      </c>
      <c r="G88" t="s">
        <v>167</v>
      </c>
      <c r="H88" s="53"/>
      <c r="J88" s="21">
        <f>'Standing charge factors'!J51</f>
        <v>0</v>
      </c>
      <c r="K88" s="21">
        <f>'Standing charge factors'!K51</f>
        <v>0</v>
      </c>
      <c r="L88" s="21">
        <f>'Standing charge factors'!L51</f>
        <v>0</v>
      </c>
      <c r="M88" s="21">
        <f>'Standing charge factors'!M51</f>
        <v>0</v>
      </c>
      <c r="N88" s="21">
        <f>'Standing charge factors'!N51</f>
        <v>1</v>
      </c>
      <c r="O88" s="21">
        <f>'Standing charge factors'!O51</f>
        <v>1</v>
      </c>
      <c r="P88" s="21">
        <f>'Standing charge factors'!P51</f>
        <v>0</v>
      </c>
      <c r="Q88" s="21">
        <f>'Standing charge factors'!Q51</f>
        <v>0</v>
      </c>
      <c r="R88" s="21">
        <f>'Standing charge factors'!R51</f>
        <v>0</v>
      </c>
      <c r="S88" s="21">
        <f>'Standing charge factors'!S51</f>
        <v>0</v>
      </c>
      <c r="T88" s="21">
        <f>'Standing charge factors'!T51</f>
        <v>0</v>
      </c>
      <c r="U88" s="21">
        <f>'Standing charge factors'!U51</f>
        <v>0</v>
      </c>
      <c r="V88" s="21">
        <f>'Standing charge factors'!V51</f>
        <v>0</v>
      </c>
      <c r="W88" s="21">
        <f>'Standing charge factors'!W51</f>
        <v>0</v>
      </c>
      <c r="X88" s="21">
        <f>'Standing charge factors'!X51</f>
        <v>0</v>
      </c>
      <c r="Y88" s="21">
        <f>'Standing charge factors'!Y51</f>
        <v>0</v>
      </c>
      <c r="AP88" s="3"/>
    </row>
    <row r="89" spans="3:42" x14ac:dyDescent="0.35">
      <c r="C89" s="27"/>
      <c r="D89"/>
      <c r="E89" s="28" t="s">
        <v>199</v>
      </c>
      <c r="F89" s="28"/>
      <c r="G89" s="28" t="s">
        <v>167</v>
      </c>
      <c r="H89" s="120"/>
      <c r="I89" s="28"/>
      <c r="J89" s="131">
        <f>'Standing charge factors'!J52</f>
        <v>1</v>
      </c>
      <c r="K89" s="131">
        <f>'Standing charge factors'!K52</f>
        <v>1</v>
      </c>
      <c r="L89" s="131">
        <f>'Standing charge factors'!L52</f>
        <v>1</v>
      </c>
      <c r="M89" s="131">
        <f>'Standing charge factors'!M52</f>
        <v>1</v>
      </c>
      <c r="N89" s="131">
        <f>'Standing charge factors'!N52</f>
        <v>1</v>
      </c>
      <c r="O89" s="131">
        <f>'Standing charge factors'!O52</f>
        <v>0</v>
      </c>
      <c r="P89" s="131">
        <f>'Standing charge factors'!P52</f>
        <v>0</v>
      </c>
      <c r="Q89" s="131">
        <f>'Standing charge factors'!Q52</f>
        <v>0</v>
      </c>
      <c r="R89" s="131">
        <f>'Standing charge factors'!R52</f>
        <v>0</v>
      </c>
      <c r="S89" s="131">
        <f>'Standing charge factors'!S52</f>
        <v>0</v>
      </c>
      <c r="T89" s="131">
        <f>'Standing charge factors'!T52</f>
        <v>0</v>
      </c>
      <c r="U89" s="131">
        <f>'Standing charge factors'!U52</f>
        <v>0</v>
      </c>
      <c r="V89" s="131">
        <f>'Standing charge factors'!V52</f>
        <v>0</v>
      </c>
      <c r="W89" s="131">
        <f>'Standing charge factors'!W52</f>
        <v>0</v>
      </c>
      <c r="X89" s="131">
        <f>'Standing charge factors'!X52</f>
        <v>0</v>
      </c>
      <c r="Y89" s="131">
        <f>'Standing charge factors'!Y52</f>
        <v>0</v>
      </c>
      <c r="AP89" s="3"/>
    </row>
    <row r="90" spans="3:42" x14ac:dyDescent="0.35">
      <c r="C90" s="78"/>
    </row>
    <row r="91" spans="3:42" x14ac:dyDescent="0.35">
      <c r="D91" s="27" t="s">
        <v>403</v>
      </c>
      <c r="E91" s="27"/>
      <c r="I91" t="s">
        <v>154</v>
      </c>
      <c r="AA91" t="s">
        <v>673</v>
      </c>
    </row>
    <row r="92" spans="3:42" x14ac:dyDescent="0.35">
      <c r="D92" s="24" t="s">
        <v>400</v>
      </c>
      <c r="E92"/>
      <c r="AA92" s="194"/>
    </row>
    <row r="93" spans="3:42" x14ac:dyDescent="0.35">
      <c r="D93"/>
      <c r="E93" s="19" t="s">
        <v>189</v>
      </c>
      <c r="F93" s="19"/>
      <c r="G93" s="54" t="s">
        <v>283</v>
      </c>
      <c r="H93" s="19"/>
      <c r="I93" s="19"/>
      <c r="J93" s="73"/>
      <c r="K93" s="73"/>
      <c r="L93" s="73"/>
      <c r="M93" s="73"/>
      <c r="N93" s="73"/>
      <c r="O93" s="73"/>
      <c r="P93" s="73"/>
      <c r="Q93" s="73"/>
      <c r="R93" s="114">
        <f t="array" ref="R93:Y102">TRANSPOSE('Load &amp; loss characteristics'!J172:S179)</f>
        <v>-1.0900000000000001</v>
      </c>
      <c r="S93" s="114">
        <v>-1.0429999999999999</v>
      </c>
      <c r="T93" s="114">
        <v>-1.0900000000000001</v>
      </c>
      <c r="U93" s="114">
        <v>-1.0900000000000001</v>
      </c>
      <c r="V93" s="114">
        <v>-1.0429999999999999</v>
      </c>
      <c r="W93" s="114">
        <v>-1.0429999999999999</v>
      </c>
      <c r="X93" s="114">
        <v>-1.0269999999999999</v>
      </c>
      <c r="Y93" s="114">
        <v>-1.0269999999999999</v>
      </c>
    </row>
    <row r="94" spans="3:42" x14ac:dyDescent="0.35">
      <c r="D94"/>
      <c r="E94" t="s">
        <v>191</v>
      </c>
      <c r="G94" s="23" t="s">
        <v>283</v>
      </c>
      <c r="J94" s="69"/>
      <c r="K94" s="69"/>
      <c r="L94" s="69"/>
      <c r="M94" s="69"/>
      <c r="N94" s="69"/>
      <c r="O94" s="69"/>
      <c r="P94" s="69"/>
      <c r="Q94" s="69"/>
      <c r="R94" s="110">
        <v>-1.0900000000000001</v>
      </c>
      <c r="S94" s="110">
        <v>-1.0429999999999999</v>
      </c>
      <c r="T94" s="110">
        <v>-1.0900000000000001</v>
      </c>
      <c r="U94" s="110">
        <v>-1.0900000000000001</v>
      </c>
      <c r="V94" s="110">
        <v>-1.0429999999999999</v>
      </c>
      <c r="W94" s="110">
        <v>-1.0429999999999999</v>
      </c>
      <c r="X94" s="110">
        <v>-1.0269999999999999</v>
      </c>
      <c r="Y94" s="110">
        <v>-1.0269999999999999</v>
      </c>
    </row>
    <row r="95" spans="3:42" x14ac:dyDescent="0.35">
      <c r="D95"/>
      <c r="E95" t="s">
        <v>192</v>
      </c>
      <c r="G95" s="23" t="s">
        <v>283</v>
      </c>
      <c r="J95" s="69"/>
      <c r="K95" s="69"/>
      <c r="L95" s="69"/>
      <c r="M95" s="69"/>
      <c r="N95" s="69"/>
      <c r="O95" s="69"/>
      <c r="P95" s="69"/>
      <c r="Q95" s="69"/>
      <c r="R95" s="110">
        <v>-1.0900000000000001</v>
      </c>
      <c r="S95" s="110">
        <v>-1.0429999999999999</v>
      </c>
      <c r="T95" s="110">
        <v>-1.0900000000000001</v>
      </c>
      <c r="U95" s="110">
        <v>-1.0900000000000001</v>
      </c>
      <c r="V95" s="110">
        <v>-1.0429999999999999</v>
      </c>
      <c r="W95" s="110">
        <v>-1.0429999999999999</v>
      </c>
      <c r="X95" s="110">
        <v>-1.0269999999999999</v>
      </c>
      <c r="Y95" s="110">
        <v>-1.0269999999999999</v>
      </c>
    </row>
    <row r="96" spans="3:42" x14ac:dyDescent="0.35">
      <c r="D96"/>
      <c r="E96" t="s">
        <v>193</v>
      </c>
      <c r="G96" s="23" t="s">
        <v>283</v>
      </c>
      <c r="J96" s="69"/>
      <c r="K96" s="69"/>
      <c r="L96" s="69"/>
      <c r="M96" s="69"/>
      <c r="N96" s="69"/>
      <c r="O96" s="69"/>
      <c r="P96" s="69"/>
      <c r="Q96" s="69"/>
      <c r="R96" s="110">
        <v>-1.0900000000000001</v>
      </c>
      <c r="S96" s="110">
        <v>-1.0429999999999999</v>
      </c>
      <c r="T96" s="110">
        <v>-1.0900000000000001</v>
      </c>
      <c r="U96" s="110">
        <v>-1.0900000000000001</v>
      </c>
      <c r="V96" s="110">
        <v>-1.0429999999999999</v>
      </c>
      <c r="W96" s="110">
        <v>-1.0429999999999999</v>
      </c>
      <c r="X96" s="110">
        <v>-1.0269999999999999</v>
      </c>
      <c r="Y96" s="110">
        <v>-1.0269999999999999</v>
      </c>
    </row>
    <row r="97" spans="3:25" x14ac:dyDescent="0.35">
      <c r="D97"/>
      <c r="E97" t="s">
        <v>194</v>
      </c>
      <c r="G97" s="23" t="s">
        <v>283</v>
      </c>
      <c r="J97" s="69"/>
      <c r="K97" s="69"/>
      <c r="L97" s="69"/>
      <c r="M97" s="69"/>
      <c r="N97" s="69"/>
      <c r="O97" s="69"/>
      <c r="P97" s="69"/>
      <c r="Q97" s="69"/>
      <c r="R97" s="110">
        <v>-1.0900000000000001</v>
      </c>
      <c r="S97" s="110">
        <v>-1.0429999999999999</v>
      </c>
      <c r="T97" s="110">
        <v>-1.0900000000000001</v>
      </c>
      <c r="U97" s="110">
        <v>-1.0900000000000001</v>
      </c>
      <c r="V97" s="110">
        <v>-1.0429999999999999</v>
      </c>
      <c r="W97" s="110">
        <v>-1.0429999999999999</v>
      </c>
      <c r="X97" s="110">
        <v>-1.0269999999999999</v>
      </c>
      <c r="Y97" s="110">
        <v>-1.0269999999999999</v>
      </c>
    </row>
    <row r="98" spans="3:25" x14ac:dyDescent="0.35">
      <c r="D98"/>
      <c r="E98" t="s">
        <v>195</v>
      </c>
      <c r="G98" s="23" t="s">
        <v>283</v>
      </c>
      <c r="J98" s="69"/>
      <c r="K98" s="69"/>
      <c r="L98" s="69"/>
      <c r="M98" s="69"/>
      <c r="N98" s="69"/>
      <c r="O98" s="69"/>
      <c r="P98" s="69"/>
      <c r="Q98" s="69"/>
      <c r="R98" s="110">
        <v>-1.0900000000000001</v>
      </c>
      <c r="S98" s="110">
        <v>-1.0429999999999999</v>
      </c>
      <c r="T98" s="110">
        <v>-1.0900000000000001</v>
      </c>
      <c r="U98" s="110">
        <v>-1.0900000000000001</v>
      </c>
      <c r="V98" s="110">
        <v>-1.0429999999999999</v>
      </c>
      <c r="W98" s="110">
        <v>-1.0429999999999999</v>
      </c>
      <c r="X98" s="110">
        <v>-1.0269999999999999</v>
      </c>
      <c r="Y98" s="110">
        <v>-1.0269999999999999</v>
      </c>
    </row>
    <row r="99" spans="3:25" x14ac:dyDescent="0.35">
      <c r="D99"/>
      <c r="E99" t="s">
        <v>196</v>
      </c>
      <c r="G99" s="23" t="s">
        <v>283</v>
      </c>
      <c r="J99" s="69"/>
      <c r="K99" s="69"/>
      <c r="L99" s="69"/>
      <c r="M99" s="69"/>
      <c r="N99" s="69"/>
      <c r="O99" s="69"/>
      <c r="P99" s="69"/>
      <c r="Q99" s="69"/>
      <c r="R99" s="110">
        <v>0</v>
      </c>
      <c r="S99" s="110">
        <v>0</v>
      </c>
      <c r="T99" s="110">
        <v>0</v>
      </c>
      <c r="U99" s="110">
        <v>0</v>
      </c>
      <c r="V99" s="110">
        <v>0</v>
      </c>
      <c r="W99" s="110">
        <v>0</v>
      </c>
      <c r="X99" s="110">
        <v>0</v>
      </c>
      <c r="Y99" s="110">
        <v>0</v>
      </c>
    </row>
    <row r="100" spans="3:25" x14ac:dyDescent="0.35">
      <c r="D100"/>
      <c r="E100" t="s">
        <v>197</v>
      </c>
      <c r="G100" s="23" t="s">
        <v>283</v>
      </c>
      <c r="J100" s="69"/>
      <c r="K100" s="69"/>
      <c r="L100" s="69"/>
      <c r="M100" s="69"/>
      <c r="N100" s="69"/>
      <c r="O100" s="69"/>
      <c r="P100" s="69"/>
      <c r="Q100" s="69"/>
      <c r="R100" s="110">
        <v>-1.0900000000000001</v>
      </c>
      <c r="S100" s="110">
        <v>-1.0429999999999999</v>
      </c>
      <c r="T100" s="110">
        <v>-1.0900000000000001</v>
      </c>
      <c r="U100" s="110">
        <v>-1.0900000000000001</v>
      </c>
      <c r="V100" s="110">
        <v>-1.0429999999999999</v>
      </c>
      <c r="W100" s="110">
        <v>-1.0429999999999999</v>
      </c>
      <c r="X100" s="110">
        <v>-1.0269999999999999</v>
      </c>
      <c r="Y100" s="110">
        <v>-1.0269999999999999</v>
      </c>
    </row>
    <row r="101" spans="3:25" x14ac:dyDescent="0.35">
      <c r="D101"/>
      <c r="E101" t="s">
        <v>198</v>
      </c>
      <c r="G101" s="23" t="s">
        <v>283</v>
      </c>
      <c r="J101" s="69"/>
      <c r="K101" s="69"/>
      <c r="L101" s="69"/>
      <c r="M101" s="69"/>
      <c r="N101" s="69"/>
      <c r="O101" s="69"/>
      <c r="P101" s="69"/>
      <c r="Q101" s="69"/>
      <c r="R101" s="110">
        <v>-1.0900000000000001</v>
      </c>
      <c r="S101" s="110">
        <v>-1.0429999999999999</v>
      </c>
      <c r="T101" s="110">
        <v>-1.0900000000000001</v>
      </c>
      <c r="U101" s="110">
        <v>-1.0900000000000001</v>
      </c>
      <c r="V101" s="110">
        <v>-1.0429999999999999</v>
      </c>
      <c r="W101" s="110">
        <v>-1.0429999999999999</v>
      </c>
      <c r="X101" s="110">
        <v>0</v>
      </c>
      <c r="Y101" s="110">
        <v>0</v>
      </c>
    </row>
    <row r="102" spans="3:25" x14ac:dyDescent="0.35">
      <c r="D102"/>
      <c r="E102" t="s">
        <v>199</v>
      </c>
      <c r="G102" s="23" t="s">
        <v>283</v>
      </c>
      <c r="J102" s="69"/>
      <c r="K102" s="69"/>
      <c r="L102" s="69"/>
      <c r="M102" s="69"/>
      <c r="N102" s="69"/>
      <c r="O102" s="69"/>
      <c r="P102" s="69"/>
      <c r="Q102" s="69"/>
      <c r="R102" s="110">
        <v>-1.0900000000000001</v>
      </c>
      <c r="S102" s="110">
        <v>0</v>
      </c>
      <c r="T102" s="110">
        <v>-1.0900000000000001</v>
      </c>
      <c r="U102" s="110">
        <v>-1.0900000000000001</v>
      </c>
      <c r="V102" s="110">
        <v>0</v>
      </c>
      <c r="W102" s="110">
        <v>0</v>
      </c>
      <c r="X102" s="110">
        <v>0</v>
      </c>
      <c r="Y102" s="110">
        <v>0</v>
      </c>
    </row>
    <row r="103" spans="3:25" x14ac:dyDescent="0.35">
      <c r="D103"/>
      <c r="E103" t="s">
        <v>375</v>
      </c>
      <c r="G103" s="23" t="s">
        <v>283</v>
      </c>
      <c r="J103" s="69"/>
      <c r="K103" s="69"/>
      <c r="L103" s="69"/>
      <c r="M103" s="69"/>
      <c r="N103" s="69"/>
      <c r="O103" s="69"/>
      <c r="P103" s="69"/>
      <c r="Q103" s="69"/>
      <c r="R103" s="69"/>
      <c r="S103" s="69"/>
      <c r="T103" s="69"/>
      <c r="U103" s="69"/>
      <c r="V103" s="69"/>
      <c r="W103" s="69"/>
      <c r="X103" s="69"/>
      <c r="Y103" s="69"/>
    </row>
    <row r="104" spans="3:25" x14ac:dyDescent="0.35">
      <c r="D104"/>
      <c r="E104" s="28" t="s">
        <v>376</v>
      </c>
      <c r="F104" s="28"/>
      <c r="G104" s="57" t="s">
        <v>283</v>
      </c>
      <c r="H104" s="28"/>
      <c r="I104" s="28"/>
      <c r="J104" s="71"/>
      <c r="K104" s="71"/>
      <c r="L104" s="71"/>
      <c r="M104" s="71"/>
      <c r="N104" s="71"/>
      <c r="O104" s="71"/>
      <c r="P104" s="71"/>
      <c r="Q104" s="71"/>
      <c r="R104" s="71"/>
      <c r="S104" s="71"/>
      <c r="T104" s="71"/>
      <c r="U104" s="71"/>
      <c r="V104" s="71"/>
      <c r="W104" s="71"/>
      <c r="X104" s="71"/>
      <c r="Y104" s="71"/>
    </row>
    <row r="105" spans="3:25" x14ac:dyDescent="0.35">
      <c r="C105" s="78"/>
    </row>
    <row r="106" spans="3:25" x14ac:dyDescent="0.35">
      <c r="D106" s="27" t="s">
        <v>415</v>
      </c>
      <c r="E106"/>
    </row>
    <row r="107" spans="3:25" x14ac:dyDescent="0.35">
      <c r="C107" s="78"/>
      <c r="E107" s="19" t="s">
        <v>189</v>
      </c>
      <c r="F107" s="19"/>
      <c r="G107" s="19" t="s">
        <v>167</v>
      </c>
      <c r="H107" s="19"/>
      <c r="I107" s="19"/>
      <c r="J107" s="55"/>
      <c r="K107" s="55"/>
      <c r="L107" s="55"/>
      <c r="M107" s="55"/>
      <c r="N107" s="55"/>
      <c r="O107" s="55"/>
      <c r="P107" s="55"/>
      <c r="Q107" s="55"/>
      <c r="R107" s="55"/>
      <c r="S107" s="55"/>
      <c r="T107" s="55"/>
      <c r="U107" s="55"/>
      <c r="V107" s="55"/>
      <c r="W107" s="55"/>
      <c r="X107" s="55"/>
      <c r="Y107" s="55"/>
    </row>
    <row r="108" spans="3:25" x14ac:dyDescent="0.35">
      <c r="C108" s="78"/>
      <c r="E108" t="s">
        <v>191</v>
      </c>
      <c r="G108" t="s">
        <v>167</v>
      </c>
      <c r="J108" s="56"/>
      <c r="K108" s="56"/>
      <c r="L108" s="56"/>
      <c r="M108" s="56"/>
      <c r="N108" s="56"/>
      <c r="O108" s="56"/>
      <c r="P108" s="56"/>
      <c r="Q108" s="56"/>
      <c r="R108" s="56"/>
      <c r="S108" s="56"/>
      <c r="T108" s="56"/>
      <c r="U108" s="56"/>
      <c r="V108" s="56"/>
      <c r="W108" s="56"/>
      <c r="X108" s="56"/>
      <c r="Y108" s="56"/>
    </row>
    <row r="109" spans="3:25" x14ac:dyDescent="0.35">
      <c r="C109" s="78"/>
      <c r="E109" t="s">
        <v>192</v>
      </c>
      <c r="G109" t="s">
        <v>167</v>
      </c>
      <c r="J109" s="21">
        <f t="array" ref="J109:Y116">TRANSPOSE('Customer contributions'!L51:S66)</f>
        <v>0</v>
      </c>
      <c r="K109" s="21">
        <v>0</v>
      </c>
      <c r="L109" s="21">
        <v>0</v>
      </c>
      <c r="M109" s="21">
        <v>0</v>
      </c>
      <c r="N109" s="21">
        <v>0</v>
      </c>
      <c r="O109" s="21">
        <v>0</v>
      </c>
      <c r="P109" s="21">
        <v>0</v>
      </c>
      <c r="Q109" s="21">
        <v>0</v>
      </c>
      <c r="R109" s="21">
        <v>0</v>
      </c>
      <c r="S109" s="21">
        <v>0</v>
      </c>
      <c r="T109" s="21">
        <v>0</v>
      </c>
      <c r="U109" s="21">
        <v>0</v>
      </c>
      <c r="V109" s="21">
        <v>0</v>
      </c>
      <c r="W109" s="21">
        <v>0</v>
      </c>
      <c r="X109" s="21">
        <v>0</v>
      </c>
      <c r="Y109" s="21">
        <v>0</v>
      </c>
    </row>
    <row r="110" spans="3:25" x14ac:dyDescent="0.35">
      <c r="C110" s="78"/>
      <c r="E110" t="s">
        <v>193</v>
      </c>
      <c r="G110" t="s">
        <v>167</v>
      </c>
      <c r="J110" s="21">
        <v>0</v>
      </c>
      <c r="K110" s="21">
        <v>0</v>
      </c>
      <c r="L110" s="21">
        <v>0</v>
      </c>
      <c r="M110" s="21">
        <v>0</v>
      </c>
      <c r="N110" s="21">
        <v>0</v>
      </c>
      <c r="O110" s="21">
        <v>0</v>
      </c>
      <c r="P110" s="21">
        <v>0</v>
      </c>
      <c r="Q110" s="21">
        <v>0</v>
      </c>
      <c r="R110" s="21">
        <v>0</v>
      </c>
      <c r="S110" s="21">
        <v>0</v>
      </c>
      <c r="T110" s="21">
        <v>0</v>
      </c>
      <c r="U110" s="21">
        <v>0</v>
      </c>
      <c r="V110" s="21">
        <v>0</v>
      </c>
      <c r="W110" s="21">
        <v>0</v>
      </c>
      <c r="X110" s="21">
        <v>0</v>
      </c>
      <c r="Y110" s="21">
        <v>0</v>
      </c>
    </row>
    <row r="111" spans="3:25" x14ac:dyDescent="0.35">
      <c r="C111" s="78"/>
      <c r="E111" t="s">
        <v>194</v>
      </c>
      <c r="G111" t="s">
        <v>167</v>
      </c>
      <c r="J111" s="21">
        <v>1.2370413198693E-2</v>
      </c>
      <c r="K111" s="21">
        <v>1.2370413198693E-2</v>
      </c>
      <c r="L111" s="21">
        <v>1.2370413198693E-2</v>
      </c>
      <c r="M111" s="21">
        <v>1.2370413198693E-2</v>
      </c>
      <c r="N111" s="21">
        <v>1.2370413198693E-2</v>
      </c>
      <c r="O111" s="21">
        <v>1.2370413198693E-2</v>
      </c>
      <c r="P111" s="21">
        <v>3.4530744799792602E-2</v>
      </c>
      <c r="Q111" s="21">
        <v>1.2370413198693E-2</v>
      </c>
      <c r="R111" s="21">
        <v>1.2370413198693E-2</v>
      </c>
      <c r="S111" s="21">
        <v>1.2370413198693E-2</v>
      </c>
      <c r="T111" s="21">
        <v>1.2370413198693E-2</v>
      </c>
      <c r="U111" s="21">
        <v>1.2370413198693E-2</v>
      </c>
      <c r="V111" s="21">
        <v>1.2370413198693E-2</v>
      </c>
      <c r="W111" s="21">
        <v>1.2370413198693E-2</v>
      </c>
      <c r="X111" s="21">
        <v>3.4530744799792602E-2</v>
      </c>
      <c r="Y111" s="21">
        <v>3.4530744799792602E-2</v>
      </c>
    </row>
    <row r="112" spans="3:25" x14ac:dyDescent="0.35">
      <c r="C112" s="78"/>
      <c r="E112" t="s">
        <v>195</v>
      </c>
      <c r="G112" t="s">
        <v>167</v>
      </c>
      <c r="J112" s="21">
        <v>2.4400925983857801E-2</v>
      </c>
      <c r="K112" s="21">
        <v>2.4400925983857801E-2</v>
      </c>
      <c r="L112" s="21">
        <v>2.4400925983857801E-2</v>
      </c>
      <c r="M112" s="21">
        <v>2.4400925983857801E-2</v>
      </c>
      <c r="N112" s="21">
        <v>2.4400925983857801E-2</v>
      </c>
      <c r="O112" s="21">
        <v>2.4400925983857801E-2</v>
      </c>
      <c r="P112" s="21">
        <v>6.6381013698021907E-2</v>
      </c>
      <c r="Q112" s="21">
        <v>2.4400925983857801E-2</v>
      </c>
      <c r="R112" s="21">
        <v>2.4400925983857801E-2</v>
      </c>
      <c r="S112" s="21">
        <v>2.4400925983857801E-2</v>
      </c>
      <c r="T112" s="21">
        <v>2.4400925983857801E-2</v>
      </c>
      <c r="U112" s="21">
        <v>2.4400925983857801E-2</v>
      </c>
      <c r="V112" s="21">
        <v>2.4400925983857801E-2</v>
      </c>
      <c r="W112" s="21">
        <v>2.4400925983857801E-2</v>
      </c>
      <c r="X112" s="21">
        <v>6.6381013698021907E-2</v>
      </c>
      <c r="Y112" s="21">
        <v>6.6381013698021907E-2</v>
      </c>
    </row>
    <row r="113" spans="3:27" x14ac:dyDescent="0.35">
      <c r="C113" s="78"/>
      <c r="E113" t="s">
        <v>196</v>
      </c>
      <c r="G113" t="s">
        <v>167</v>
      </c>
      <c r="J113" s="21">
        <v>0</v>
      </c>
      <c r="K113" s="21">
        <v>0</v>
      </c>
      <c r="L113" s="21">
        <v>0</v>
      </c>
      <c r="M113" s="21">
        <v>0</v>
      </c>
      <c r="N113" s="21">
        <v>0</v>
      </c>
      <c r="O113" s="21">
        <v>0</v>
      </c>
      <c r="P113" s="21">
        <v>0</v>
      </c>
      <c r="Q113" s="21">
        <v>0</v>
      </c>
      <c r="R113" s="21">
        <v>0</v>
      </c>
      <c r="S113" s="21">
        <v>0</v>
      </c>
      <c r="T113" s="21">
        <v>0</v>
      </c>
      <c r="U113" s="21">
        <v>0</v>
      </c>
      <c r="V113" s="21">
        <v>0</v>
      </c>
      <c r="W113" s="21">
        <v>0</v>
      </c>
      <c r="X113" s="21">
        <v>0</v>
      </c>
      <c r="Y113" s="21">
        <v>0</v>
      </c>
    </row>
    <row r="114" spans="3:27" x14ac:dyDescent="0.35">
      <c r="C114" s="78"/>
      <c r="E114" t="s">
        <v>197</v>
      </c>
      <c r="G114" t="s">
        <v>167</v>
      </c>
      <c r="J114" s="21">
        <v>0.34379931777325301</v>
      </c>
      <c r="K114" s="21">
        <v>0.34379931777325301</v>
      </c>
      <c r="L114" s="21">
        <v>0.34379931777325301</v>
      </c>
      <c r="M114" s="21">
        <v>0.34379931777325301</v>
      </c>
      <c r="N114" s="21">
        <v>0.34379931777325301</v>
      </c>
      <c r="O114" s="21">
        <v>0.34379931777325301</v>
      </c>
      <c r="P114" s="21">
        <v>0.38323267678152101</v>
      </c>
      <c r="Q114" s="21">
        <v>0.34379931777325301</v>
      </c>
      <c r="R114" s="21">
        <v>0.34379931777325301</v>
      </c>
      <c r="S114" s="21">
        <v>0.34379931777325301</v>
      </c>
      <c r="T114" s="21">
        <v>0.34379931777325301</v>
      </c>
      <c r="U114" s="21">
        <v>0.34379931777325301</v>
      </c>
      <c r="V114" s="21">
        <v>0.34379931777325301</v>
      </c>
      <c r="W114" s="21">
        <v>0.34379931777325301</v>
      </c>
      <c r="X114" s="21">
        <v>0.38323267678152101</v>
      </c>
      <c r="Y114" s="21">
        <v>0.38323267678152101</v>
      </c>
    </row>
    <row r="115" spans="3:27" x14ac:dyDescent="0.35">
      <c r="C115" s="78"/>
      <c r="E115" t="s">
        <v>198</v>
      </c>
      <c r="G115" t="s">
        <v>167</v>
      </c>
      <c r="J115" s="21">
        <v>0.42351973684210498</v>
      </c>
      <c r="K115" s="21">
        <v>0.42351973684210498</v>
      </c>
      <c r="L115" s="21">
        <v>0.42351973684210498</v>
      </c>
      <c r="M115" s="21">
        <v>0.42351973684210498</v>
      </c>
      <c r="N115" s="21">
        <v>0.42351973684210498</v>
      </c>
      <c r="O115" s="21">
        <v>0.42351973684210498</v>
      </c>
      <c r="P115" s="21">
        <v>0</v>
      </c>
      <c r="Q115" s="21">
        <v>0.42351973684210498</v>
      </c>
      <c r="R115" s="21">
        <v>0.42351973684210498</v>
      </c>
      <c r="S115" s="21">
        <v>0.42351973684210498</v>
      </c>
      <c r="T115" s="21">
        <v>0.42351973684210498</v>
      </c>
      <c r="U115" s="21">
        <v>0.42351973684210498</v>
      </c>
      <c r="V115" s="21">
        <v>0.42351973684210498</v>
      </c>
      <c r="W115" s="21">
        <v>0.42351973684210498</v>
      </c>
      <c r="X115" s="21">
        <v>0</v>
      </c>
      <c r="Y115" s="21">
        <v>0</v>
      </c>
    </row>
    <row r="116" spans="3:27" x14ac:dyDescent="0.35">
      <c r="C116" s="78"/>
      <c r="E116" t="s">
        <v>199</v>
      </c>
      <c r="G116" t="s">
        <v>167</v>
      </c>
      <c r="J116" s="21">
        <v>0.95595667870036105</v>
      </c>
      <c r="K116" s="21">
        <v>0.95595667870036105</v>
      </c>
      <c r="L116" s="21">
        <v>0.95595667870036105</v>
      </c>
      <c r="M116" s="21">
        <v>0.95595667870036105</v>
      </c>
      <c r="N116" s="21">
        <v>0.95595667870036105</v>
      </c>
      <c r="O116" s="21">
        <v>0</v>
      </c>
      <c r="P116" s="21">
        <v>0</v>
      </c>
      <c r="Q116" s="21">
        <v>0.95595667870036105</v>
      </c>
      <c r="R116" s="21">
        <v>0.95595667870036105</v>
      </c>
      <c r="S116" s="21">
        <v>0</v>
      </c>
      <c r="T116" s="21">
        <v>0.95595667870036105</v>
      </c>
      <c r="U116" s="21">
        <v>0.95595667870036105</v>
      </c>
      <c r="V116" s="21">
        <v>0</v>
      </c>
      <c r="W116" s="21">
        <v>0</v>
      </c>
      <c r="X116" s="21">
        <v>0</v>
      </c>
      <c r="Y116" s="21">
        <v>0</v>
      </c>
    </row>
    <row r="117" spans="3:27" x14ac:dyDescent="0.35">
      <c r="C117" s="78"/>
      <c r="E117" t="s">
        <v>375</v>
      </c>
      <c r="G117" t="s">
        <v>167</v>
      </c>
      <c r="J117" s="56"/>
      <c r="K117" s="56"/>
      <c r="L117" s="56"/>
      <c r="M117" s="56"/>
      <c r="N117" s="56"/>
      <c r="O117" s="56"/>
      <c r="P117" s="56"/>
      <c r="Q117" s="56"/>
      <c r="R117" s="56"/>
      <c r="S117" s="56"/>
      <c r="T117" s="56"/>
      <c r="U117" s="56"/>
      <c r="V117" s="56"/>
      <c r="W117" s="56"/>
      <c r="X117" s="56"/>
      <c r="Y117" s="56"/>
    </row>
    <row r="118" spans="3:27" x14ac:dyDescent="0.35">
      <c r="C118" s="78"/>
      <c r="E118" s="28" t="s">
        <v>376</v>
      </c>
      <c r="F118" s="28"/>
      <c r="G118" s="28" t="s">
        <v>167</v>
      </c>
      <c r="H118" s="28"/>
      <c r="I118" s="28"/>
      <c r="J118" s="58"/>
      <c r="K118" s="58"/>
      <c r="L118" s="58"/>
      <c r="M118" s="58"/>
      <c r="N118" s="58"/>
      <c r="O118" s="58"/>
      <c r="P118" s="58"/>
      <c r="Q118" s="58"/>
      <c r="R118" s="58"/>
      <c r="S118" s="58"/>
      <c r="T118" s="58"/>
      <c r="U118" s="58"/>
      <c r="V118" s="58"/>
      <c r="W118" s="58"/>
      <c r="X118" s="58"/>
      <c r="Y118" s="58"/>
    </row>
    <row r="120" spans="3:27" x14ac:dyDescent="0.35">
      <c r="C120" s="26" t="str">
        <f ca="1">INDEX('Version control'!$H$38:$H$61,MATCH($A$1,'Version control'!$F$38:$F$61,0),1)&amp;"-B: Yardstick charge (demand)"</f>
        <v>Section 113-B: Yardstick charge (demand)</v>
      </c>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row>
    <row r="121" spans="3:27" x14ac:dyDescent="0.35">
      <c r="C121" s="27"/>
      <c r="D121"/>
      <c r="E121" s="27"/>
    </row>
    <row r="122" spans="3:27" x14ac:dyDescent="0.35">
      <c r="D122" s="27" t="s">
        <v>620</v>
      </c>
      <c r="E122"/>
    </row>
    <row r="123" spans="3:27" x14ac:dyDescent="0.35">
      <c r="E123" s="19" t="s">
        <v>189</v>
      </c>
      <c r="F123" s="19"/>
      <c r="G123" s="19" t="s">
        <v>269</v>
      </c>
      <c r="H123" s="255"/>
      <c r="I123" s="255"/>
      <c r="J123" s="269"/>
      <c r="K123" s="269"/>
      <c r="L123" s="269"/>
      <c r="M123" s="269"/>
      <c r="N123" s="269"/>
      <c r="O123" s="269"/>
      <c r="P123" s="269"/>
      <c r="Q123" s="269"/>
      <c r="R123" s="269"/>
      <c r="S123" s="269"/>
      <c r="T123" s="269"/>
      <c r="U123" s="269"/>
      <c r="V123" s="269"/>
      <c r="W123" s="269"/>
      <c r="X123" s="269"/>
      <c r="Y123" s="269"/>
      <c r="Z123" s="256"/>
      <c r="AA123" s="256"/>
    </row>
    <row r="124" spans="3:27" x14ac:dyDescent="0.35">
      <c r="E124" t="s">
        <v>191</v>
      </c>
      <c r="G124" t="s">
        <v>269</v>
      </c>
      <c r="H124" s="256"/>
      <c r="I124" s="256"/>
      <c r="J124" s="257"/>
      <c r="K124" s="257"/>
      <c r="L124" s="257"/>
      <c r="M124" s="257"/>
      <c r="N124" s="257"/>
      <c r="O124" s="257"/>
      <c r="P124" s="257"/>
      <c r="Q124" s="257"/>
      <c r="R124" s="257"/>
      <c r="S124" s="257"/>
      <c r="T124" s="257"/>
      <c r="U124" s="257"/>
      <c r="V124" s="257"/>
      <c r="W124" s="257"/>
      <c r="X124" s="257"/>
      <c r="Y124" s="257"/>
      <c r="Z124" s="256"/>
      <c r="AA124" s="256"/>
    </row>
    <row r="125" spans="3:27" x14ac:dyDescent="0.35">
      <c r="E125" t="s">
        <v>192</v>
      </c>
      <c r="G125" t="s">
        <v>269</v>
      </c>
      <c r="H125" s="256"/>
      <c r="I125" s="256"/>
      <c r="J125" s="268">
        <f>'Initial unit rates'!J125</f>
        <v>0.27823975699183612</v>
      </c>
      <c r="K125" s="268">
        <f>'Initial unit rates'!K125</f>
        <v>0.27823975699183612</v>
      </c>
      <c r="L125" s="268">
        <f>'Initial unit rates'!L125</f>
        <v>0.19758041921099034</v>
      </c>
      <c r="M125" s="268">
        <f>'Initial unit rates'!M125</f>
        <v>0.19758041921099034</v>
      </c>
      <c r="N125" s="268">
        <f>'Initial unit rates'!N125</f>
        <v>0.18263933427666146</v>
      </c>
      <c r="O125" s="268">
        <f>'Initial unit rates'!O125</f>
        <v>0.1416461829412077</v>
      </c>
      <c r="P125" s="268">
        <f>'Initial unit rates'!P125</f>
        <v>0.14234987324142001</v>
      </c>
      <c r="Q125" s="268">
        <f>'Initial unit rates'!Q125</f>
        <v>0.26214635884843018</v>
      </c>
      <c r="R125" s="257"/>
      <c r="S125" s="257"/>
      <c r="T125" s="257"/>
      <c r="U125" s="257"/>
      <c r="V125" s="257"/>
      <c r="W125" s="257"/>
      <c r="X125" s="257"/>
      <c r="Y125" s="257"/>
      <c r="Z125" s="256"/>
      <c r="AA125" s="256"/>
    </row>
    <row r="126" spans="3:27" x14ac:dyDescent="0.35">
      <c r="E126" t="s">
        <v>193</v>
      </c>
      <c r="G126" t="s">
        <v>269</v>
      </c>
      <c r="H126" s="256"/>
      <c r="I126" s="256"/>
      <c r="J126" s="268">
        <f>'Initial unit rates'!J126</f>
        <v>7.1993942921061191E-2</v>
      </c>
      <c r="K126" s="268">
        <f>'Initial unit rates'!K126</f>
        <v>7.1993942921061191E-2</v>
      </c>
      <c r="L126" s="268">
        <f>'Initial unit rates'!L126</f>
        <v>5.1123511523957901E-2</v>
      </c>
      <c r="M126" s="268">
        <f>'Initial unit rates'!M126</f>
        <v>5.1123511523957901E-2</v>
      </c>
      <c r="N126" s="268">
        <f>'Initial unit rates'!N126</f>
        <v>4.7257537704938339E-2</v>
      </c>
      <c r="O126" s="268">
        <f>'Initial unit rates'!O126</f>
        <v>3.6650647340648414E-2</v>
      </c>
      <c r="P126" s="268">
        <f>'Initial unit rates'!P126</f>
        <v>3.6832725703048207E-2</v>
      </c>
      <c r="Q126" s="268">
        <f>'Initial unit rates'!Q126</f>
        <v>6.7829810520038863E-2</v>
      </c>
      <c r="R126" s="257"/>
      <c r="S126" s="257"/>
      <c r="T126" s="257"/>
      <c r="U126" s="257"/>
      <c r="V126" s="257"/>
      <c r="W126" s="257"/>
      <c r="X126" s="257"/>
      <c r="Y126" s="257"/>
      <c r="Z126" s="256"/>
      <c r="AA126" s="256"/>
    </row>
    <row r="127" spans="3:27" x14ac:dyDescent="0.35">
      <c r="E127" t="s">
        <v>194</v>
      </c>
      <c r="G127" t="s">
        <v>269</v>
      </c>
      <c r="H127" s="256"/>
      <c r="I127" s="256"/>
      <c r="J127" s="268">
        <f>'Initial unit rates'!J127</f>
        <v>0.19588840756336601</v>
      </c>
      <c r="K127" s="268">
        <f>'Initial unit rates'!K127</f>
        <v>0.19588840756336601</v>
      </c>
      <c r="L127" s="268">
        <f>'Initial unit rates'!L127</f>
        <v>0.13910202518642512</v>
      </c>
      <c r="M127" s="268">
        <f>'Initial unit rates'!M127</f>
        <v>0.13910202518642512</v>
      </c>
      <c r="N127" s="268">
        <f>'Initial unit rates'!N127</f>
        <v>0.12858309228230902</v>
      </c>
      <c r="O127" s="268">
        <f>'Initial unit rates'!O127</f>
        <v>9.9722791285346474E-2</v>
      </c>
      <c r="P127" s="268">
        <f>'Initial unit rates'!P127</f>
        <v>9.7969522617635668E-2</v>
      </c>
      <c r="Q127" s="268">
        <f>'Initial unit rates'!Q127</f>
        <v>0.18455821460791602</v>
      </c>
      <c r="R127" s="257"/>
      <c r="S127" s="257"/>
      <c r="T127" s="257"/>
      <c r="U127" s="257"/>
      <c r="V127" s="257"/>
      <c r="W127" s="257"/>
      <c r="X127" s="257"/>
      <c r="Y127" s="257"/>
      <c r="Z127" s="256"/>
      <c r="AA127" s="256"/>
    </row>
    <row r="128" spans="3:27" x14ac:dyDescent="0.35">
      <c r="E128" t="s">
        <v>195</v>
      </c>
      <c r="G128" t="s">
        <v>269</v>
      </c>
      <c r="H128" s="256"/>
      <c r="I128" s="256"/>
      <c r="J128" s="268">
        <f>'Initial unit rates'!J128</f>
        <v>0.13690132543775699</v>
      </c>
      <c r="K128" s="268">
        <f>'Initial unit rates'!K128</f>
        <v>0.13690132543775699</v>
      </c>
      <c r="L128" s="268">
        <f>'Initial unit rates'!L128</f>
        <v>9.7214796199401141E-2</v>
      </c>
      <c r="M128" s="268">
        <f>'Initial unit rates'!M128</f>
        <v>9.7214796199401141E-2</v>
      </c>
      <c r="N128" s="268">
        <f>'Initial unit rates'!N128</f>
        <v>8.9863386921654576E-2</v>
      </c>
      <c r="O128" s="268">
        <f>'Initial unit rates'!O128</f>
        <v>6.9693671377161634E-2</v>
      </c>
      <c r="P128" s="268">
        <f>'Initial unit rates'!P128</f>
        <v>6.7026084216342902E-2</v>
      </c>
      <c r="Q128" s="268">
        <f>'Initial unit rates'!Q128</f>
        <v>0.1289829475594495</v>
      </c>
      <c r="R128" s="257"/>
      <c r="S128" s="257"/>
      <c r="T128" s="257"/>
      <c r="U128" s="257"/>
      <c r="V128" s="257"/>
      <c r="W128" s="257"/>
      <c r="X128" s="257"/>
      <c r="Y128" s="257"/>
      <c r="Z128" s="256"/>
      <c r="AA128" s="256"/>
    </row>
    <row r="129" spans="4:27" x14ac:dyDescent="0.35">
      <c r="E129" t="s">
        <v>196</v>
      </c>
      <c r="G129" t="s">
        <v>269</v>
      </c>
      <c r="H129" s="256"/>
      <c r="I129" s="256"/>
      <c r="J129" s="268">
        <f>'Initial unit rates'!J129</f>
        <v>0</v>
      </c>
      <c r="K129" s="268">
        <f>'Initial unit rates'!K129</f>
        <v>0</v>
      </c>
      <c r="L129" s="268">
        <f>'Initial unit rates'!L129</f>
        <v>0</v>
      </c>
      <c r="M129" s="268">
        <f>'Initial unit rates'!M129</f>
        <v>0</v>
      </c>
      <c r="N129" s="268">
        <f>'Initial unit rates'!N129</f>
        <v>0</v>
      </c>
      <c r="O129" s="268">
        <f>'Initial unit rates'!O129</f>
        <v>0</v>
      </c>
      <c r="P129" s="268">
        <f>'Initial unit rates'!P129</f>
        <v>0</v>
      </c>
      <c r="Q129" s="268">
        <f>'Initial unit rates'!Q129</f>
        <v>0</v>
      </c>
      <c r="R129" s="257"/>
      <c r="S129" s="257"/>
      <c r="T129" s="257"/>
      <c r="U129" s="257"/>
      <c r="V129" s="257"/>
      <c r="W129" s="257"/>
      <c r="X129" s="257"/>
      <c r="Y129" s="257"/>
      <c r="Z129" s="256"/>
      <c r="AA129" s="256"/>
    </row>
    <row r="130" spans="4:27" x14ac:dyDescent="0.35">
      <c r="E130" t="s">
        <v>197</v>
      </c>
      <c r="G130" t="s">
        <v>269</v>
      </c>
      <c r="H130" s="256"/>
      <c r="I130" s="256"/>
      <c r="J130" s="268">
        <f>'Initial unit rates'!J130</f>
        <v>0.29800797900803588</v>
      </c>
      <c r="K130" s="268">
        <f>'Initial unit rates'!K130</f>
        <v>0.29800797900803588</v>
      </c>
      <c r="L130" s="268">
        <f>'Initial unit rates'!L130</f>
        <v>0.21161800188876451</v>
      </c>
      <c r="M130" s="268">
        <f>'Initial unit rates'!M130</f>
        <v>0.21161800188876451</v>
      </c>
      <c r="N130" s="268">
        <f>'Initial unit rates'!N130</f>
        <v>0.19561539114181281</v>
      </c>
      <c r="O130" s="268">
        <f>'Initial unit rates'!O130</f>
        <v>0.15170978140895366</v>
      </c>
      <c r="P130" s="268">
        <f>'Initial unit rates'!P130</f>
        <v>0.14330141226660514</v>
      </c>
      <c r="Q130" s="268">
        <f>'Initial unit rates'!Q130</f>
        <v>0.28077118615018126</v>
      </c>
      <c r="R130" s="257"/>
      <c r="S130" s="257"/>
      <c r="T130" s="257"/>
      <c r="U130" s="257"/>
      <c r="V130" s="257"/>
      <c r="W130" s="257"/>
      <c r="X130" s="257"/>
      <c r="Y130" s="257"/>
      <c r="Z130" s="256"/>
      <c r="AA130" s="256"/>
    </row>
    <row r="131" spans="4:27" x14ac:dyDescent="0.35">
      <c r="E131" t="s">
        <v>198</v>
      </c>
      <c r="G131" t="s">
        <v>269</v>
      </c>
      <c r="H131" s="256"/>
      <c r="I131" s="256"/>
      <c r="J131" s="268">
        <f>'Initial unit rates'!J131</f>
        <v>0.10053870783254833</v>
      </c>
      <c r="K131" s="268">
        <f>'Initial unit rates'!K131</f>
        <v>0.10053870783254833</v>
      </c>
      <c r="L131" s="268">
        <f>'Initial unit rates'!L131</f>
        <v>7.1393391998502309E-2</v>
      </c>
      <c r="M131" s="268">
        <f>'Initial unit rates'!M131</f>
        <v>7.1393391998502309E-2</v>
      </c>
      <c r="N131" s="268">
        <f>'Initial unit rates'!N131</f>
        <v>6.5994604315698729E-2</v>
      </c>
      <c r="O131" s="268">
        <f>'Initial unit rates'!O131</f>
        <v>5.1182204715408866E-2</v>
      </c>
      <c r="P131" s="268">
        <f>'Initial unit rates'!P131</f>
        <v>0</v>
      </c>
      <c r="Q131" s="268">
        <f>'Initial unit rates'!Q131</f>
        <v>9.4723545141688723E-2</v>
      </c>
      <c r="R131" s="257"/>
      <c r="S131" s="257"/>
      <c r="T131" s="257"/>
      <c r="U131" s="257"/>
      <c r="V131" s="257"/>
      <c r="W131" s="257"/>
      <c r="X131" s="257"/>
      <c r="Y131" s="257"/>
      <c r="Z131" s="256"/>
      <c r="AA131" s="256"/>
    </row>
    <row r="132" spans="4:27" x14ac:dyDescent="0.35">
      <c r="E132" t="s">
        <v>199</v>
      </c>
      <c r="G132" t="s">
        <v>269</v>
      </c>
      <c r="H132" s="256"/>
      <c r="I132" s="256"/>
      <c r="J132" s="268">
        <f>'Initial unit rates'!J132</f>
        <v>1.9848018225084366E-2</v>
      </c>
      <c r="K132" s="268">
        <f>'Initial unit rates'!K132</f>
        <v>1.9848018225084366E-2</v>
      </c>
      <c r="L132" s="268">
        <f>'Initial unit rates'!L132</f>
        <v>1.4094246644754687E-2</v>
      </c>
      <c r="M132" s="268">
        <f>'Initial unit rates'!M132</f>
        <v>1.4094246644754687E-2</v>
      </c>
      <c r="N132" s="268">
        <f>'Initial unit rates'!N132</f>
        <v>1.3028435887567335E-2</v>
      </c>
      <c r="O132" s="268">
        <f>'Initial unit rates'!O132</f>
        <v>0</v>
      </c>
      <c r="P132" s="268">
        <f>'Initial unit rates'!P132</f>
        <v>0</v>
      </c>
      <c r="Q132" s="268">
        <f>'Initial unit rates'!Q132</f>
        <v>1.8700008094874137E-2</v>
      </c>
      <c r="R132" s="257"/>
      <c r="S132" s="257"/>
      <c r="T132" s="257"/>
      <c r="U132" s="257"/>
      <c r="V132" s="257"/>
      <c r="W132" s="257"/>
      <c r="X132" s="257"/>
      <c r="Y132" s="257"/>
      <c r="Z132" s="256"/>
      <c r="AA132" s="256"/>
    </row>
    <row r="133" spans="4:27" x14ac:dyDescent="0.35">
      <c r="E133" t="s">
        <v>375</v>
      </c>
      <c r="G133" t="s">
        <v>269</v>
      </c>
      <c r="H133" s="256"/>
      <c r="I133" s="256"/>
      <c r="J133" s="257"/>
      <c r="K133" s="257"/>
      <c r="L133" s="257"/>
      <c r="M133" s="257"/>
      <c r="N133" s="257"/>
      <c r="O133" s="257"/>
      <c r="P133" s="257"/>
      <c r="Q133" s="257"/>
      <c r="R133" s="257"/>
      <c r="S133" s="257"/>
      <c r="T133" s="257"/>
      <c r="U133" s="257"/>
      <c r="V133" s="257"/>
      <c r="W133" s="257"/>
      <c r="X133" s="257"/>
      <c r="Y133" s="257"/>
      <c r="Z133" s="256"/>
      <c r="AA133" s="256"/>
    </row>
    <row r="134" spans="4:27" x14ac:dyDescent="0.35">
      <c r="E134" s="28" t="s">
        <v>376</v>
      </c>
      <c r="F134" s="28"/>
      <c r="G134" s="28" t="s">
        <v>269</v>
      </c>
      <c r="H134" s="258"/>
      <c r="I134" s="258"/>
      <c r="J134" s="259"/>
      <c r="K134" s="259"/>
      <c r="L134" s="259"/>
      <c r="M134" s="259"/>
      <c r="N134" s="259"/>
      <c r="O134" s="259"/>
      <c r="P134" s="259"/>
      <c r="Q134" s="259"/>
      <c r="R134" s="259"/>
      <c r="S134" s="259"/>
      <c r="T134" s="259"/>
      <c r="U134" s="259"/>
      <c r="V134" s="259"/>
      <c r="W134" s="259"/>
      <c r="X134" s="259"/>
      <c r="Y134" s="259"/>
      <c r="Z134" s="256"/>
      <c r="AA134" s="256"/>
    </row>
    <row r="135" spans="4:27" x14ac:dyDescent="0.35">
      <c r="E135"/>
      <c r="J135" s="79"/>
      <c r="K135" s="79"/>
      <c r="L135" s="79"/>
      <c r="M135" s="79"/>
      <c r="N135" s="79"/>
      <c r="O135" s="79"/>
      <c r="P135" s="79"/>
      <c r="Q135" s="79"/>
      <c r="R135" s="79"/>
      <c r="S135" s="79"/>
      <c r="T135" s="79"/>
      <c r="U135" s="79"/>
      <c r="V135" s="79"/>
      <c r="W135" s="79"/>
      <c r="X135" s="79"/>
      <c r="Y135" s="79"/>
    </row>
    <row r="136" spans="4:27" x14ac:dyDescent="0.35">
      <c r="D136" s="27" t="s">
        <v>621</v>
      </c>
      <c r="E136"/>
      <c r="J136" s="79"/>
      <c r="K136" s="79"/>
      <c r="L136" s="79"/>
      <c r="M136" s="79"/>
      <c r="N136" s="79"/>
      <c r="O136" s="79"/>
      <c r="P136" s="79"/>
      <c r="Q136" s="79"/>
      <c r="R136" s="79"/>
      <c r="S136" s="79"/>
      <c r="T136" s="79"/>
      <c r="U136" s="79"/>
      <c r="V136" s="79"/>
      <c r="W136" s="79"/>
      <c r="X136" s="79"/>
      <c r="Y136" s="79"/>
    </row>
    <row r="137" spans="4:27" x14ac:dyDescent="0.35">
      <c r="E137" s="19" t="s">
        <v>189</v>
      </c>
      <c r="F137" s="19"/>
      <c r="G137" s="19" t="s">
        <v>269</v>
      </c>
      <c r="H137" s="255"/>
      <c r="I137" s="255"/>
      <c r="J137" s="267">
        <f>'Initial unit rates'!J135</f>
        <v>8.885896848629514E-2</v>
      </c>
      <c r="K137" s="267">
        <f>'Initial unit rates'!K135</f>
        <v>8.885896848629514E-2</v>
      </c>
      <c r="L137" s="267">
        <f>'Initial unit rates'!L135</f>
        <v>6.3099509696213238E-2</v>
      </c>
      <c r="M137" s="267">
        <f>'Initial unit rates'!M135</f>
        <v>6.3099509696213238E-2</v>
      </c>
      <c r="N137" s="267">
        <f>'Initial unit rates'!N135</f>
        <v>5.8327907644499445E-2</v>
      </c>
      <c r="O137" s="267">
        <f>'Initial unit rates'!O135</f>
        <v>4.5236287733481879E-2</v>
      </c>
      <c r="P137" s="267">
        <f>'Initial unit rates'!P135</f>
        <v>4.5461019076287475E-2</v>
      </c>
      <c r="Q137" s="267">
        <f>'Initial unit rates'!Q135</f>
        <v>8.3719362364139599E-2</v>
      </c>
      <c r="R137" s="269"/>
      <c r="S137" s="269"/>
      <c r="T137" s="269"/>
      <c r="U137" s="269"/>
      <c r="V137" s="269"/>
      <c r="W137" s="269"/>
      <c r="X137" s="269"/>
      <c r="Y137" s="269"/>
      <c r="Z137" s="256"/>
      <c r="AA137" s="256"/>
    </row>
    <row r="138" spans="4:27" x14ac:dyDescent="0.35">
      <c r="E138" t="s">
        <v>191</v>
      </c>
      <c r="G138" t="s">
        <v>269</v>
      </c>
      <c r="H138" s="256"/>
      <c r="I138" s="256"/>
      <c r="J138" s="268">
        <f>'Initial unit rates'!J136</f>
        <v>0</v>
      </c>
      <c r="K138" s="268">
        <f>'Initial unit rates'!K136</f>
        <v>0</v>
      </c>
      <c r="L138" s="268">
        <f>'Initial unit rates'!L136</f>
        <v>0</v>
      </c>
      <c r="M138" s="268">
        <f>'Initial unit rates'!M136</f>
        <v>0</v>
      </c>
      <c r="N138" s="268">
        <f>'Initial unit rates'!N136</f>
        <v>0</v>
      </c>
      <c r="O138" s="268">
        <f>'Initial unit rates'!O136</f>
        <v>0</v>
      </c>
      <c r="P138" s="268">
        <f>'Initial unit rates'!P136</f>
        <v>0</v>
      </c>
      <c r="Q138" s="268">
        <f>'Initial unit rates'!Q136</f>
        <v>0</v>
      </c>
      <c r="R138" s="257"/>
      <c r="S138" s="257"/>
      <c r="T138" s="257"/>
      <c r="U138" s="257"/>
      <c r="V138" s="257"/>
      <c r="W138" s="257"/>
      <c r="X138" s="257"/>
      <c r="Y138" s="257"/>
      <c r="Z138" s="256"/>
      <c r="AA138" s="256"/>
    </row>
    <row r="139" spans="4:27" x14ac:dyDescent="0.35">
      <c r="E139" t="s">
        <v>192</v>
      </c>
      <c r="G139" t="s">
        <v>269</v>
      </c>
      <c r="H139" s="256"/>
      <c r="I139" s="256"/>
      <c r="J139" s="268">
        <f>'Initial unit rates'!J137</f>
        <v>0.18535344848741947</v>
      </c>
      <c r="K139" s="268">
        <f>'Initial unit rates'!K137</f>
        <v>0.18535344848741947</v>
      </c>
      <c r="L139" s="268">
        <f>'Initial unit rates'!L137</f>
        <v>0.13162106109595828</v>
      </c>
      <c r="M139" s="268">
        <f>'Initial unit rates'!M137</f>
        <v>0.13162106109595828</v>
      </c>
      <c r="N139" s="268">
        <f>'Initial unit rates'!N137</f>
        <v>0.12166784072708572</v>
      </c>
      <c r="O139" s="268">
        <f>'Initial unit rates'!O137</f>
        <v>9.4359658580362701E-2</v>
      </c>
      <c r="P139" s="268">
        <f>'Initial unit rates'!P137</f>
        <v>9.4828432077082386E-2</v>
      </c>
      <c r="Q139" s="268">
        <f>'Initial unit rates'!Q137</f>
        <v>0.17463259796623085</v>
      </c>
      <c r="R139" s="257"/>
      <c r="S139" s="257"/>
      <c r="T139" s="257"/>
      <c r="U139" s="257"/>
      <c r="V139" s="257"/>
      <c r="W139" s="257"/>
      <c r="X139" s="257"/>
      <c r="Y139" s="257"/>
      <c r="Z139" s="256"/>
      <c r="AA139" s="256"/>
    </row>
    <row r="140" spans="4:27" x14ac:dyDescent="0.35">
      <c r="E140" t="s">
        <v>193</v>
      </c>
      <c r="G140" t="s">
        <v>269</v>
      </c>
      <c r="H140" s="256"/>
      <c r="I140" s="256"/>
      <c r="J140" s="268">
        <f>'Initial unit rates'!J138</f>
        <v>4.7959808960790141E-2</v>
      </c>
      <c r="K140" s="268">
        <f>'Initial unit rates'!K138</f>
        <v>4.7959808960790141E-2</v>
      </c>
      <c r="L140" s="268">
        <f>'Initial unit rates'!L138</f>
        <v>3.4056668472543135E-2</v>
      </c>
      <c r="M140" s="268">
        <f>'Initial unit rates'!M138</f>
        <v>3.4056668472543135E-2</v>
      </c>
      <c r="N140" s="268">
        <f>'Initial unit rates'!N138</f>
        <v>3.1481293957899711E-2</v>
      </c>
      <c r="O140" s="268">
        <f>'Initial unit rates'!O138</f>
        <v>2.441536014597934E-2</v>
      </c>
      <c r="P140" s="268">
        <f>'Initial unit rates'!P138</f>
        <v>2.4536654287156779E-2</v>
      </c>
      <c r="Q140" s="268">
        <f>'Initial unit rates'!Q138</f>
        <v>4.518581178356313E-2</v>
      </c>
      <c r="R140" s="257"/>
      <c r="S140" s="257"/>
      <c r="T140" s="257"/>
      <c r="U140" s="257"/>
      <c r="V140" s="257"/>
      <c r="W140" s="257"/>
      <c r="X140" s="257"/>
      <c r="Y140" s="257"/>
      <c r="Z140" s="256"/>
      <c r="AA140" s="256"/>
    </row>
    <row r="141" spans="4:27" x14ac:dyDescent="0.35">
      <c r="E141" t="s">
        <v>194</v>
      </c>
      <c r="G141" t="s">
        <v>269</v>
      </c>
      <c r="H141" s="256"/>
      <c r="I141" s="256"/>
      <c r="J141" s="268">
        <f>'Initial unit rates'!J139</f>
        <v>0.13212838573014646</v>
      </c>
      <c r="K141" s="268">
        <f>'Initial unit rates'!K139</f>
        <v>0.13212838573014646</v>
      </c>
      <c r="L141" s="268">
        <f>'Initial unit rates'!L139</f>
        <v>9.3825491096154748E-2</v>
      </c>
      <c r="M141" s="268">
        <f>'Initial unit rates'!M139</f>
        <v>9.3825491096154748E-2</v>
      </c>
      <c r="N141" s="268">
        <f>'Initial unit rates'!N139</f>
        <v>8.6730381990349215E-2</v>
      </c>
      <c r="O141" s="268">
        <f>'Initial unit rates'!O139</f>
        <v>6.7263865161469066E-2</v>
      </c>
      <c r="P141" s="268">
        <f>'Initial unit rates'!P139</f>
        <v>6.7598028274700045E-2</v>
      </c>
      <c r="Q141" s="268">
        <f>'Initial unit rates'!Q139</f>
        <v>0.12448607486634294</v>
      </c>
      <c r="R141" s="257"/>
      <c r="S141" s="257"/>
      <c r="T141" s="257"/>
      <c r="U141" s="257"/>
      <c r="V141" s="257"/>
      <c r="W141" s="257"/>
      <c r="X141" s="257"/>
      <c r="Y141" s="257"/>
      <c r="Z141" s="256"/>
      <c r="AA141" s="256"/>
    </row>
    <row r="142" spans="4:27" x14ac:dyDescent="0.35">
      <c r="E142" t="s">
        <v>195</v>
      </c>
      <c r="G142" t="s">
        <v>269</v>
      </c>
      <c r="H142" s="256"/>
      <c r="I142" s="256"/>
      <c r="J142" s="268">
        <f>'Initial unit rates'!J140</f>
        <v>9.3479796552531261E-2</v>
      </c>
      <c r="K142" s="268">
        <f>'Initial unit rates'!K140</f>
        <v>9.3479796552531261E-2</v>
      </c>
      <c r="L142" s="268">
        <f>'Initial unit rates'!L140</f>
        <v>6.6380799028476531E-2</v>
      </c>
      <c r="M142" s="268">
        <f>'Initial unit rates'!M140</f>
        <v>6.6380799028476531E-2</v>
      </c>
      <c r="N142" s="268">
        <f>'Initial unit rates'!N140</f>
        <v>6.1361064986744526E-2</v>
      </c>
      <c r="O142" s="268">
        <f>'Initial unit rates'!O140</f>
        <v>4.7588657016312839E-2</v>
      </c>
      <c r="P142" s="268">
        <f>'Initial unit rates'!P140</f>
        <v>4.7825074797908901E-2</v>
      </c>
      <c r="Q142" s="268">
        <f>'Initial unit rates'!Q140</f>
        <v>8.8072921559003231E-2</v>
      </c>
      <c r="R142" s="257"/>
      <c r="S142" s="257"/>
      <c r="T142" s="257"/>
      <c r="U142" s="257"/>
      <c r="V142" s="257"/>
      <c r="W142" s="257"/>
      <c r="X142" s="257"/>
      <c r="Y142" s="257"/>
      <c r="Z142" s="256"/>
      <c r="AA142" s="256"/>
    </row>
    <row r="143" spans="4:27" x14ac:dyDescent="0.35">
      <c r="E143" t="s">
        <v>196</v>
      </c>
      <c r="G143" t="s">
        <v>269</v>
      </c>
      <c r="H143" s="256"/>
      <c r="I143" s="256"/>
      <c r="J143" s="268">
        <f>'Initial unit rates'!J141</f>
        <v>0</v>
      </c>
      <c r="K143" s="268">
        <f>'Initial unit rates'!K141</f>
        <v>0</v>
      </c>
      <c r="L143" s="268">
        <f>'Initial unit rates'!L141</f>
        <v>0</v>
      </c>
      <c r="M143" s="268">
        <f>'Initial unit rates'!M141</f>
        <v>0</v>
      </c>
      <c r="N143" s="268">
        <f>'Initial unit rates'!N141</f>
        <v>0</v>
      </c>
      <c r="O143" s="268">
        <f>'Initial unit rates'!O141</f>
        <v>0</v>
      </c>
      <c r="P143" s="268">
        <f>'Initial unit rates'!P141</f>
        <v>0</v>
      </c>
      <c r="Q143" s="268">
        <f>'Initial unit rates'!Q141</f>
        <v>0</v>
      </c>
      <c r="R143" s="257"/>
      <c r="S143" s="257"/>
      <c r="T143" s="257"/>
      <c r="U143" s="257"/>
      <c r="V143" s="257"/>
      <c r="W143" s="257"/>
      <c r="X143" s="257"/>
      <c r="Y143" s="257"/>
      <c r="Z143" s="256"/>
      <c r="AA143" s="256"/>
    </row>
    <row r="144" spans="4:27" x14ac:dyDescent="0.35">
      <c r="E144" t="s">
        <v>197</v>
      </c>
      <c r="G144" t="s">
        <v>269</v>
      </c>
      <c r="H144" s="256"/>
      <c r="I144" s="256"/>
      <c r="J144" s="268">
        <f>'Initial unit rates'!J142</f>
        <v>0.30253296223543935</v>
      </c>
      <c r="K144" s="268">
        <f>'Initial unit rates'!K142</f>
        <v>0.30253296223543935</v>
      </c>
      <c r="L144" s="268">
        <f>'Initial unit rates'!L142</f>
        <v>0.21483123098535009</v>
      </c>
      <c r="M144" s="268">
        <f>'Initial unit rates'!M142</f>
        <v>0.21483123098535009</v>
      </c>
      <c r="N144" s="268">
        <f>'Initial unit rates'!N142</f>
        <v>0.19858563498187728</v>
      </c>
      <c r="O144" s="268">
        <f>'Initial unit rates'!O142</f>
        <v>0.15401335804000102</v>
      </c>
      <c r="P144" s="268">
        <f>'Initial unit rates'!P142</f>
        <v>0.15477848777315351</v>
      </c>
      <c r="Q144" s="268">
        <f>'Initial unit rates'!Q142</f>
        <v>0.28503444417534135</v>
      </c>
      <c r="R144" s="257"/>
      <c r="S144" s="257"/>
      <c r="T144" s="257"/>
      <c r="U144" s="257"/>
      <c r="V144" s="257"/>
      <c r="W144" s="257"/>
      <c r="X144" s="257"/>
      <c r="Y144" s="257"/>
      <c r="Z144" s="256"/>
      <c r="AA144" s="256"/>
    </row>
    <row r="145" spans="2:27" x14ac:dyDescent="0.35">
      <c r="E145" t="s">
        <v>198</v>
      </c>
      <c r="G145" t="s">
        <v>269</v>
      </c>
      <c r="H145" s="256"/>
      <c r="I145" s="256"/>
      <c r="J145" s="268">
        <f>'Initial unit rates'!J143</f>
        <v>0.11617972422435675</v>
      </c>
      <c r="K145" s="268">
        <f>'Initial unit rates'!K143</f>
        <v>0.11617972422435675</v>
      </c>
      <c r="L145" s="268">
        <f>'Initial unit rates'!L143</f>
        <v>8.2500210840606714E-2</v>
      </c>
      <c r="M145" s="268">
        <f>'Initial unit rates'!M143</f>
        <v>8.2500210840606714E-2</v>
      </c>
      <c r="N145" s="268">
        <f>'Initial unit rates'!N143</f>
        <v>7.626152250199536E-2</v>
      </c>
      <c r="O145" s="268">
        <f>'Initial unit rates'!O143</f>
        <v>5.9144727013347512E-2</v>
      </c>
      <c r="P145" s="268">
        <f>'Initial unit rates'!P143</f>
        <v>0</v>
      </c>
      <c r="Q145" s="268">
        <f>'Initial unit rates'!Q143</f>
        <v>0.10945988454958108</v>
      </c>
      <c r="R145" s="257"/>
      <c r="S145" s="257"/>
      <c r="T145" s="257"/>
      <c r="U145" s="257"/>
      <c r="V145" s="257"/>
      <c r="W145" s="257"/>
      <c r="X145" s="257"/>
      <c r="Y145" s="257"/>
      <c r="Z145" s="256"/>
      <c r="AA145" s="256"/>
    </row>
    <row r="146" spans="2:27" x14ac:dyDescent="0.35">
      <c r="E146" t="s">
        <v>199</v>
      </c>
      <c r="G146" t="s">
        <v>269</v>
      </c>
      <c r="H146" s="256"/>
      <c r="I146" s="256"/>
      <c r="J146" s="268">
        <f>'Initial unit rates'!J144</f>
        <v>0.30020545088240536</v>
      </c>
      <c r="K146" s="268">
        <f>'Initial unit rates'!K144</f>
        <v>0.30020545088240536</v>
      </c>
      <c r="L146" s="268">
        <f>'Initial unit rates'!L144</f>
        <v>0.21317844536685099</v>
      </c>
      <c r="M146" s="268">
        <f>'Initial unit rates'!M144</f>
        <v>0.21317844536685099</v>
      </c>
      <c r="N146" s="268">
        <f>'Initial unit rates'!N144</f>
        <v>0.19705783346050099</v>
      </c>
      <c r="O146" s="268">
        <f>'Initial unit rates'!O144</f>
        <v>0</v>
      </c>
      <c r="P146" s="268">
        <f>'Initial unit rates'!P144</f>
        <v>0</v>
      </c>
      <c r="Q146" s="268">
        <f>'Initial unit rates'!Q144</f>
        <v>0.28284155616762885</v>
      </c>
      <c r="R146" s="257"/>
      <c r="S146" s="257"/>
      <c r="T146" s="257"/>
      <c r="U146" s="257"/>
      <c r="V146" s="257"/>
      <c r="W146" s="257"/>
      <c r="X146" s="257"/>
      <c r="Y146" s="257"/>
      <c r="Z146" s="256"/>
      <c r="AA146" s="256"/>
    </row>
    <row r="147" spans="2:27" x14ac:dyDescent="0.35">
      <c r="E147" t="s">
        <v>375</v>
      </c>
      <c r="G147" t="s">
        <v>269</v>
      </c>
      <c r="H147" s="256"/>
      <c r="I147" s="256"/>
      <c r="J147" s="257"/>
      <c r="K147" s="257"/>
      <c r="L147" s="257"/>
      <c r="M147" s="257"/>
      <c r="N147" s="257"/>
      <c r="O147" s="257"/>
      <c r="P147" s="257"/>
      <c r="Q147" s="257"/>
      <c r="R147" s="257"/>
      <c r="S147" s="257"/>
      <c r="T147" s="257"/>
      <c r="U147" s="257"/>
      <c r="V147" s="257"/>
      <c r="W147" s="257"/>
      <c r="X147" s="257"/>
      <c r="Y147" s="257"/>
      <c r="Z147" s="256"/>
      <c r="AA147" s="256"/>
    </row>
    <row r="148" spans="2:27" x14ac:dyDescent="0.35">
      <c r="E148" s="28" t="s">
        <v>376</v>
      </c>
      <c r="F148" s="28"/>
      <c r="G148" s="28" t="s">
        <v>269</v>
      </c>
      <c r="H148" s="258"/>
      <c r="I148" s="258"/>
      <c r="J148" s="259"/>
      <c r="K148" s="259"/>
      <c r="L148" s="259"/>
      <c r="M148" s="259"/>
      <c r="N148" s="259"/>
      <c r="O148" s="259"/>
      <c r="P148" s="259"/>
      <c r="Q148" s="259"/>
      <c r="R148" s="259"/>
      <c r="S148" s="259"/>
      <c r="T148" s="259"/>
      <c r="U148" s="259"/>
      <c r="V148" s="259"/>
      <c r="W148" s="259"/>
      <c r="X148" s="259"/>
      <c r="Y148" s="259"/>
      <c r="Z148" s="256"/>
      <c r="AA148" s="256"/>
    </row>
    <row r="149" spans="2:27" x14ac:dyDescent="0.35">
      <c r="D149"/>
      <c r="E149"/>
      <c r="J149" s="79"/>
      <c r="K149" s="79"/>
      <c r="L149" s="79"/>
      <c r="M149" s="79"/>
      <c r="N149" s="79"/>
      <c r="O149" s="79"/>
      <c r="P149" s="79"/>
      <c r="Q149" s="79"/>
      <c r="R149" s="79"/>
      <c r="S149" s="79"/>
      <c r="T149" s="79"/>
      <c r="U149" s="79"/>
      <c r="V149" s="79"/>
      <c r="W149" s="79"/>
      <c r="X149" s="79"/>
      <c r="Y149" s="79"/>
    </row>
    <row r="150" spans="2:27" x14ac:dyDescent="0.35">
      <c r="B150" s="25" t="s">
        <v>674</v>
      </c>
      <c r="C150" s="25"/>
      <c r="D150" s="25"/>
      <c r="E150" s="25"/>
      <c r="F150" s="25"/>
      <c r="G150" s="25"/>
      <c r="H150" s="25"/>
      <c r="I150" s="25"/>
      <c r="J150" s="174"/>
      <c r="K150" s="174"/>
      <c r="L150" s="174"/>
      <c r="M150" s="174"/>
      <c r="N150" s="174"/>
      <c r="O150" s="174"/>
      <c r="P150" s="174"/>
      <c r="Q150" s="174"/>
      <c r="R150" s="174"/>
      <c r="S150" s="174"/>
      <c r="T150" s="174"/>
      <c r="U150" s="174"/>
      <c r="V150" s="174"/>
      <c r="W150" s="174"/>
      <c r="X150" s="174"/>
      <c r="Y150" s="174"/>
      <c r="Z150" s="25"/>
      <c r="AA150" s="25"/>
    </row>
    <row r="151" spans="2:27" x14ac:dyDescent="0.35">
      <c r="C151" s="195"/>
      <c r="D151"/>
      <c r="E151"/>
      <c r="J151" s="79"/>
      <c r="K151" s="79"/>
      <c r="L151" s="79"/>
      <c r="M151" s="79"/>
      <c r="N151" s="79"/>
      <c r="O151" s="79"/>
      <c r="P151" s="79"/>
      <c r="Q151" s="79"/>
      <c r="R151" s="79"/>
      <c r="S151" s="79"/>
      <c r="T151" s="79"/>
      <c r="U151" s="79"/>
      <c r="V151" s="79"/>
      <c r="W151" s="79"/>
      <c r="X151" s="79"/>
      <c r="Y151" s="79"/>
    </row>
    <row r="152" spans="2:27" x14ac:dyDescent="0.35">
      <c r="C152" s="24" t="s">
        <v>675</v>
      </c>
      <c r="D152"/>
      <c r="E152"/>
      <c r="J152" s="79"/>
      <c r="K152" s="79"/>
      <c r="L152" s="79"/>
      <c r="M152" s="79"/>
      <c r="N152" s="79"/>
      <c r="O152" s="79"/>
      <c r="P152" s="79"/>
      <c r="Q152" s="79"/>
      <c r="R152" s="79"/>
      <c r="S152" s="79"/>
      <c r="T152" s="79"/>
      <c r="U152" s="79"/>
      <c r="V152" s="79"/>
      <c r="W152" s="79"/>
      <c r="X152" s="79"/>
      <c r="Y152" s="79"/>
    </row>
    <row r="153" spans="2:27" x14ac:dyDescent="0.35">
      <c r="C153" s="24" t="s">
        <v>676</v>
      </c>
      <c r="D153"/>
      <c r="E153"/>
      <c r="J153" s="79"/>
      <c r="K153" s="79"/>
      <c r="L153" s="79"/>
      <c r="M153" s="79"/>
      <c r="N153" s="79"/>
      <c r="O153" s="79"/>
      <c r="P153" s="79"/>
      <c r="Q153" s="79"/>
      <c r="R153" s="79"/>
      <c r="S153" s="79"/>
      <c r="T153" s="79"/>
      <c r="U153" s="79"/>
      <c r="V153" s="79"/>
      <c r="W153" s="79"/>
      <c r="X153" s="79"/>
      <c r="Y153" s="79"/>
    </row>
    <row r="154" spans="2:27" x14ac:dyDescent="0.35">
      <c r="C154" s="195"/>
      <c r="D154"/>
      <c r="E154"/>
      <c r="J154" s="79"/>
      <c r="K154" s="79"/>
      <c r="L154" s="79"/>
      <c r="M154" s="79"/>
      <c r="N154" s="79"/>
      <c r="O154" s="79"/>
      <c r="P154" s="79"/>
      <c r="Q154" s="79"/>
      <c r="R154" s="79"/>
      <c r="S154" s="79"/>
      <c r="T154" s="79"/>
      <c r="U154" s="79"/>
      <c r="V154" s="79"/>
      <c r="W154" s="79"/>
      <c r="X154" s="79"/>
      <c r="Y154" s="79"/>
    </row>
    <row r="155" spans="2:27" x14ac:dyDescent="0.35">
      <c r="C155" s="26" t="str">
        <f ca="1">INDEX('Version control'!$H$38:$H$61,MATCH($A$1,'Version control'!$F$38:$F$61,0),1)&amp;"-C: Yardstick charge used for generation"</f>
        <v>Section 113-C: Yardstick charge used for generation</v>
      </c>
      <c r="D155" s="26"/>
      <c r="E155" s="26"/>
      <c r="F155" s="26"/>
      <c r="G155" s="26"/>
      <c r="H155" s="26"/>
      <c r="I155" s="26"/>
      <c r="J155" s="80"/>
      <c r="K155" s="80"/>
      <c r="L155" s="80"/>
      <c r="M155" s="80"/>
      <c r="N155" s="80"/>
      <c r="O155" s="80"/>
      <c r="P155" s="80"/>
      <c r="Q155" s="80"/>
      <c r="R155" s="80"/>
      <c r="S155" s="80"/>
      <c r="T155" s="80"/>
      <c r="U155" s="80"/>
      <c r="V155" s="80"/>
      <c r="W155" s="80"/>
      <c r="X155" s="80"/>
      <c r="Y155" s="80"/>
      <c r="Z155" s="26"/>
      <c r="AA155" s="26"/>
    </row>
    <row r="156" spans="2:27" x14ac:dyDescent="0.35">
      <c r="D156" s="27"/>
      <c r="E156" s="27"/>
      <c r="I156" t="s">
        <v>154</v>
      </c>
      <c r="J156" s="79"/>
      <c r="K156" s="79"/>
      <c r="L156" s="79"/>
      <c r="M156" s="79"/>
      <c r="N156" s="79"/>
      <c r="O156" s="79"/>
      <c r="P156" s="79"/>
      <c r="Q156" s="79"/>
      <c r="R156" s="79"/>
      <c r="S156" s="79"/>
      <c r="T156" s="79"/>
      <c r="U156" s="79"/>
      <c r="V156" s="79"/>
      <c r="W156" s="79"/>
      <c r="X156" s="79"/>
      <c r="Y156" s="79"/>
      <c r="AA156" t="s">
        <v>677</v>
      </c>
    </row>
    <row r="157" spans="2:27" x14ac:dyDescent="0.35">
      <c r="D157"/>
      <c r="E157" s="27" t="s">
        <v>620</v>
      </c>
      <c r="J157" s="79"/>
      <c r="K157" s="79"/>
      <c r="L157" s="79"/>
      <c r="M157" s="79"/>
      <c r="N157" s="79"/>
      <c r="O157" s="79"/>
      <c r="P157" s="79"/>
      <c r="Q157" s="79"/>
      <c r="R157" s="79"/>
      <c r="S157" s="79"/>
      <c r="T157" s="79"/>
      <c r="U157" s="79"/>
      <c r="V157" s="79"/>
      <c r="W157" s="79"/>
      <c r="X157" s="79"/>
      <c r="Y157" s="79"/>
    </row>
    <row r="158" spans="2:27" x14ac:dyDescent="0.35">
      <c r="D158"/>
      <c r="F158" s="19" t="s">
        <v>189</v>
      </c>
      <c r="G158" s="19" t="s">
        <v>269</v>
      </c>
      <c r="H158" s="255"/>
      <c r="I158" s="255"/>
      <c r="J158" s="269"/>
      <c r="K158" s="269"/>
      <c r="L158" s="269"/>
      <c r="M158" s="269"/>
      <c r="N158" s="269"/>
      <c r="O158" s="269"/>
      <c r="P158" s="269"/>
      <c r="Q158" s="269"/>
      <c r="R158" s="269"/>
      <c r="S158" s="269"/>
      <c r="T158" s="269"/>
      <c r="U158" s="269"/>
      <c r="V158" s="269"/>
      <c r="W158" s="269"/>
      <c r="X158" s="269"/>
      <c r="Y158" s="269"/>
      <c r="Z158" s="256"/>
      <c r="AA158" s="256"/>
    </row>
    <row r="159" spans="2:27" x14ac:dyDescent="0.35">
      <c r="D159"/>
      <c r="F159" t="s">
        <v>191</v>
      </c>
      <c r="G159" t="s">
        <v>269</v>
      </c>
      <c r="H159" s="256"/>
      <c r="I159" s="256"/>
      <c r="J159" s="257"/>
      <c r="K159" s="257"/>
      <c r="L159" s="257"/>
      <c r="M159" s="257"/>
      <c r="N159" s="257"/>
      <c r="O159" s="257"/>
      <c r="P159" s="257"/>
      <c r="Q159" s="257"/>
      <c r="R159" s="257"/>
      <c r="S159" s="257"/>
      <c r="T159" s="257"/>
      <c r="U159" s="257"/>
      <c r="V159" s="257"/>
      <c r="W159" s="257"/>
      <c r="X159" s="257"/>
      <c r="Y159" s="257"/>
      <c r="Z159" s="256"/>
      <c r="AA159" s="256"/>
    </row>
    <row r="160" spans="2:27" x14ac:dyDescent="0.35">
      <c r="D160"/>
      <c r="F160" t="s">
        <v>192</v>
      </c>
      <c r="G160" t="s">
        <v>269</v>
      </c>
      <c r="H160" s="256"/>
      <c r="I160" s="256"/>
      <c r="J160" s="257"/>
      <c r="K160" s="257"/>
      <c r="L160" s="257"/>
      <c r="M160" s="257"/>
      <c r="N160" s="257"/>
      <c r="O160" s="257"/>
      <c r="P160" s="257"/>
      <c r="Q160" s="257"/>
      <c r="R160" s="271">
        <f t="shared" ref="R160:S160" si="0">hundred * $H51 * R95 / $H37 * (1 - R109) / hours_in_year</f>
        <v>-0.1365704485699617</v>
      </c>
      <c r="S160" s="271">
        <f t="shared" si="0"/>
        <v>-0.13068163106281655</v>
      </c>
      <c r="T160" s="271">
        <f t="shared" ref="T160:U160" si="1">hundred * $H51 * T95 / $H37 * (1 - T109) / hours_in_year</f>
        <v>-0.1365704485699617</v>
      </c>
      <c r="U160" s="271">
        <f t="shared" si="1"/>
        <v>-0.1365704485699617</v>
      </c>
      <c r="V160" s="271">
        <f t="shared" ref="V160:W160" si="2">hundred * $H51 * V95 / $H37 * (1 - V109) / hours_in_year</f>
        <v>-0.13068163106281655</v>
      </c>
      <c r="W160" s="271">
        <f t="shared" si="2"/>
        <v>-0.13068163106281655</v>
      </c>
      <c r="X160" s="271">
        <f t="shared" ref="X160:Y160" si="3">hundred * $H51 * X95 / $H37 * (1 - X109) / hours_in_year</f>
        <v>-0.1286769272305969</v>
      </c>
      <c r="Y160" s="271">
        <f t="shared" si="3"/>
        <v>-0.1286769272305969</v>
      </c>
      <c r="Z160" s="256"/>
      <c r="AA160" s="256"/>
    </row>
    <row r="161" spans="5:27" customFormat="1" x14ac:dyDescent="0.35">
      <c r="E161" s="2"/>
      <c r="F161" t="s">
        <v>193</v>
      </c>
      <c r="G161" t="s">
        <v>269</v>
      </c>
      <c r="H161" s="256"/>
      <c r="I161" s="256"/>
      <c r="J161" s="257"/>
      <c r="K161" s="257"/>
      <c r="L161" s="257"/>
      <c r="M161" s="257"/>
      <c r="N161" s="257"/>
      <c r="O161" s="257"/>
      <c r="P161" s="257"/>
      <c r="Q161" s="257"/>
      <c r="R161" s="271">
        <f t="shared" ref="R161:S161" si="4">hundred * $H52 * R96 / $H38 * (1 - R110) / hours_in_year</f>
        <v>-3.5337311911676356E-2</v>
      </c>
      <c r="S161" s="271">
        <f t="shared" si="4"/>
        <v>-3.3813592957686635E-2</v>
      </c>
      <c r="T161" s="271">
        <f t="shared" ref="T161:U161" si="5">hundred * $H52 * T96 / $H38 * (1 - T110) / hours_in_year</f>
        <v>-3.5337311911676356E-2</v>
      </c>
      <c r="U161" s="271">
        <f t="shared" si="5"/>
        <v>-3.5337311911676356E-2</v>
      </c>
      <c r="V161" s="271">
        <f t="shared" ref="V161:W161" si="6">hundred * $H52 * V96 / $H38 * (1 - V110) / hours_in_year</f>
        <v>-3.3813592957686635E-2</v>
      </c>
      <c r="W161" s="271">
        <f t="shared" si="6"/>
        <v>-3.3813592957686635E-2</v>
      </c>
      <c r="X161" s="271">
        <f t="shared" ref="X161:Y161" si="7">hundred * $H52 * X96 / $H38 * (1 - X110) / hours_in_year</f>
        <v>-3.3294880122285882E-2</v>
      </c>
      <c r="Y161" s="271">
        <f t="shared" si="7"/>
        <v>-3.3294880122285882E-2</v>
      </c>
      <c r="Z161" s="256"/>
      <c r="AA161" s="256"/>
    </row>
    <row r="162" spans="5:27" customFormat="1" x14ac:dyDescent="0.35">
      <c r="E162" s="2"/>
      <c r="F162" t="s">
        <v>194</v>
      </c>
      <c r="G162" t="s">
        <v>269</v>
      </c>
      <c r="H162" s="256"/>
      <c r="I162" s="256"/>
      <c r="J162" s="257"/>
      <c r="K162" s="257"/>
      <c r="L162" s="257"/>
      <c r="M162" s="257"/>
      <c r="N162" s="257"/>
      <c r="O162" s="257"/>
      <c r="P162" s="257"/>
      <c r="Q162" s="257"/>
      <c r="R162" s="271">
        <f t="shared" ref="R162:S162" si="8">hundred * $H53 * R97 / $H39 * (1 - R111) / hours_in_year</f>
        <v>-9.6149335306418227E-2</v>
      </c>
      <c r="S162" s="271">
        <f t="shared" si="8"/>
        <v>-9.2003446536324932E-2</v>
      </c>
      <c r="T162" s="271">
        <f t="shared" ref="T162:U162" si="9">hundred * $H53 * T97 / $H39 * (1 - T111) / hours_in_year</f>
        <v>-9.6149335306418227E-2</v>
      </c>
      <c r="U162" s="271">
        <f t="shared" si="9"/>
        <v>-9.6149335306418227E-2</v>
      </c>
      <c r="V162" s="271">
        <f t="shared" ref="V162:W162" si="10">hundred * $H53 * V97 / $H39 * (1 - V111) / hours_in_year</f>
        <v>-9.2003446536324932E-2</v>
      </c>
      <c r="W162" s="271">
        <f t="shared" si="10"/>
        <v>-9.2003446536324932E-2</v>
      </c>
      <c r="X162" s="271">
        <f t="shared" ref="X162:Y162" si="11">hundred * $H53 * X97 / $H39 * (1 - X111) / hours_in_year</f>
        <v>-8.8559384322779225E-2</v>
      </c>
      <c r="Y162" s="271">
        <f t="shared" si="11"/>
        <v>-8.8559384322779225E-2</v>
      </c>
      <c r="Z162" s="256"/>
      <c r="AA162" s="256"/>
    </row>
    <row r="163" spans="5:27" customFormat="1" x14ac:dyDescent="0.35">
      <c r="E163" s="2"/>
      <c r="F163" t="s">
        <v>195</v>
      </c>
      <c r="G163" t="s">
        <v>269</v>
      </c>
      <c r="H163" s="256"/>
      <c r="I163" s="256"/>
      <c r="J163" s="257"/>
      <c r="K163" s="257"/>
      <c r="L163" s="257"/>
      <c r="M163" s="257"/>
      <c r="N163" s="257"/>
      <c r="O163" s="257"/>
      <c r="P163" s="257"/>
      <c r="Q163" s="257"/>
      <c r="R163" s="271">
        <f t="shared" ref="R163:S163" si="12">hundred * $H54 * R98 / $H40 * (1 - R112) / hours_in_year</f>
        <v>-6.7196275711976575E-2</v>
      </c>
      <c r="S163" s="271">
        <f t="shared" si="12"/>
        <v>-6.4298821621643631E-2</v>
      </c>
      <c r="T163" s="271">
        <f t="shared" ref="T163:U163" si="13">hundred * $H54 * T98 / $H40 * (1 - T112) / hours_in_year</f>
        <v>-6.7196275711976575E-2</v>
      </c>
      <c r="U163" s="271">
        <f t="shared" si="13"/>
        <v>-6.7196275711976575E-2</v>
      </c>
      <c r="V163" s="271">
        <f t="shared" ref="V163:W163" si="14">hundred * $H54 * V98 / $H40 * (1 - V112) / hours_in_year</f>
        <v>-6.4298821621643631E-2</v>
      </c>
      <c r="W163" s="271">
        <f t="shared" si="14"/>
        <v>-6.4298821621643631E-2</v>
      </c>
      <c r="X163" s="271">
        <f t="shared" ref="X163:Y163" si="15">hundred * $H54 * X98 / $H40 * (1 - X112) / hours_in_year</f>
        <v>-6.0588115499274321E-2</v>
      </c>
      <c r="Y163" s="271">
        <f t="shared" si="15"/>
        <v>-6.0588115499274321E-2</v>
      </c>
      <c r="Z163" s="256"/>
      <c r="AA163" s="256"/>
    </row>
    <row r="164" spans="5:27" customFormat="1" x14ac:dyDescent="0.35">
      <c r="E164" s="2"/>
      <c r="F164" t="s">
        <v>196</v>
      </c>
      <c r="G164" t="s">
        <v>269</v>
      </c>
      <c r="H164" s="256"/>
      <c r="I164" s="256"/>
      <c r="J164" s="257"/>
      <c r="K164" s="257"/>
      <c r="L164" s="257"/>
      <c r="M164" s="257"/>
      <c r="N164" s="257"/>
      <c r="O164" s="257"/>
      <c r="P164" s="257"/>
      <c r="Q164" s="257"/>
      <c r="R164" s="271">
        <f t="shared" ref="R164:S164" si="16">hundred * $H55 * R99 / $H41 * (1 - R113) / hours_in_year</f>
        <v>0</v>
      </c>
      <c r="S164" s="271">
        <f t="shared" si="16"/>
        <v>0</v>
      </c>
      <c r="T164" s="271">
        <f t="shared" ref="T164:U164" si="17">hundred * $H55 * T99 / $H41 * (1 - T113) / hours_in_year</f>
        <v>0</v>
      </c>
      <c r="U164" s="271">
        <f t="shared" si="17"/>
        <v>0</v>
      </c>
      <c r="V164" s="271">
        <f t="shared" ref="V164:W164" si="18">hundred * $H55 * V99 / $H41 * (1 - V113) / hours_in_year</f>
        <v>0</v>
      </c>
      <c r="W164" s="271">
        <f t="shared" si="18"/>
        <v>0</v>
      </c>
      <c r="X164" s="271">
        <f t="shared" ref="X164:Y164" si="19">hundred * $H55 * X99 / $H41 * (1 - X113) / hours_in_year</f>
        <v>0</v>
      </c>
      <c r="Y164" s="271">
        <f t="shared" si="19"/>
        <v>0</v>
      </c>
      <c r="Z164" s="256"/>
      <c r="AA164" s="256"/>
    </row>
    <row r="165" spans="5:27" customFormat="1" x14ac:dyDescent="0.35">
      <c r="E165" s="2"/>
      <c r="F165" t="s">
        <v>197</v>
      </c>
      <c r="G165" t="s">
        <v>269</v>
      </c>
      <c r="H165" s="256"/>
      <c r="I165" s="256"/>
      <c r="J165" s="257"/>
      <c r="K165" s="257"/>
      <c r="L165" s="257"/>
      <c r="M165" s="257"/>
      <c r="N165" s="257"/>
      <c r="O165" s="257"/>
      <c r="P165" s="257"/>
      <c r="Q165" s="257"/>
      <c r="R165" s="271">
        <f t="shared" ref="R165:S165" si="20">hundred * $H56 * R100 / $H42 * (1 - R114) / hours_in_year</f>
        <v>-0.14627342911225066</v>
      </c>
      <c r="S165" s="271">
        <f t="shared" si="20"/>
        <v>-0.13996622620557561</v>
      </c>
      <c r="T165" s="271">
        <f t="shared" ref="T165:U165" si="21">hundred * $H56 * T100 / $H42 * (1 - T114) / hours_in_year</f>
        <v>-0.14627342911225066</v>
      </c>
      <c r="U165" s="271">
        <f t="shared" si="21"/>
        <v>-0.14627342911225066</v>
      </c>
      <c r="V165" s="271">
        <f t="shared" ref="V165:W165" si="22">hundred * $H56 * V100 / $H42 * (1 - V114) / hours_in_year</f>
        <v>-0.13996622620557561</v>
      </c>
      <c r="W165" s="271">
        <f t="shared" si="22"/>
        <v>-0.13996622620557561</v>
      </c>
      <c r="X165" s="271">
        <f t="shared" ref="X165:Y165" si="23">hundred * $H56 * X100 / $H42 * (1 - X114) / hours_in_year</f>
        <v>-0.12953706932354533</v>
      </c>
      <c r="Y165" s="271">
        <f t="shared" si="23"/>
        <v>-0.12953706932354533</v>
      </c>
      <c r="Z165" s="256"/>
      <c r="AA165" s="256"/>
    </row>
    <row r="166" spans="5:27" customFormat="1" x14ac:dyDescent="0.35">
      <c r="E166" s="2"/>
      <c r="F166" t="s">
        <v>198</v>
      </c>
      <c r="G166" t="s">
        <v>269</v>
      </c>
      <c r="H166" s="256"/>
      <c r="I166" s="256"/>
      <c r="J166" s="257"/>
      <c r="K166" s="257"/>
      <c r="L166" s="257"/>
      <c r="M166" s="257"/>
      <c r="N166" s="257"/>
      <c r="O166" s="257"/>
      <c r="P166" s="257"/>
      <c r="Q166" s="257"/>
      <c r="R166" s="271">
        <f t="shared" ref="R166:S166" si="24">hundred * $H57 * R101 / $H43 * (1 - R115) / hours_in_year</f>
        <v>-4.9348146993020557E-2</v>
      </c>
      <c r="S166" s="271">
        <f t="shared" si="24"/>
        <v>-4.7220291113504981E-2</v>
      </c>
      <c r="T166" s="271">
        <f t="shared" ref="T166:U166" si="25">hundred * $H57 * T101 / $H43 * (1 - T115) / hours_in_year</f>
        <v>-4.9348146993020557E-2</v>
      </c>
      <c r="U166" s="271">
        <f t="shared" si="25"/>
        <v>-4.9348146993020557E-2</v>
      </c>
      <c r="V166" s="271">
        <f t="shared" ref="V166:W166" si="26">hundred * $H57 * V101 / $H43 * (1 - V115) / hours_in_year</f>
        <v>-4.7220291113504981E-2</v>
      </c>
      <c r="W166" s="271">
        <f t="shared" si="26"/>
        <v>-4.7220291113504981E-2</v>
      </c>
      <c r="X166" s="271">
        <f t="shared" ref="X166:Y166" si="27">hundred * $H57 * X101 / $H43 * (1 - X115) / hours_in_year</f>
        <v>0</v>
      </c>
      <c r="Y166" s="271">
        <f t="shared" si="27"/>
        <v>0</v>
      </c>
      <c r="Z166" s="256"/>
      <c r="AA166" s="256"/>
    </row>
    <row r="167" spans="5:27" customFormat="1" x14ac:dyDescent="0.35">
      <c r="E167" s="2"/>
      <c r="F167" t="s">
        <v>199</v>
      </c>
      <c r="G167" t="s">
        <v>269</v>
      </c>
      <c r="H167" s="256"/>
      <c r="I167" s="256"/>
      <c r="J167" s="257"/>
      <c r="K167" s="257"/>
      <c r="L167" s="257"/>
      <c r="M167" s="257"/>
      <c r="N167" s="257"/>
      <c r="O167" s="257"/>
      <c r="P167" s="257"/>
      <c r="Q167" s="257"/>
      <c r="R167" s="271">
        <f t="shared" ref="R167:S167" si="28">hundred * $H58 * R102 / $H44 * (1 - R116) / hours_in_year</f>
        <v>-9.7421474972898305E-3</v>
      </c>
      <c r="S167" s="271">
        <f t="shared" si="28"/>
        <v>0</v>
      </c>
      <c r="T167" s="271">
        <f t="shared" ref="T167:U167" si="29">hundred * $H58 * T102 / $H44 * (1 - T116) / hours_in_year</f>
        <v>-9.7421474972898305E-3</v>
      </c>
      <c r="U167" s="271">
        <f t="shared" si="29"/>
        <v>-9.7421474972898305E-3</v>
      </c>
      <c r="V167" s="271">
        <f t="shared" ref="V167:W167" si="30">hundred * $H58 * V102 / $H44 * (1 - V116) / hours_in_year</f>
        <v>0</v>
      </c>
      <c r="W167" s="271">
        <f t="shared" si="30"/>
        <v>0</v>
      </c>
      <c r="X167" s="271">
        <f t="shared" ref="X167:Y167" si="31">hundred * $H58 * X102 / $H44 * (1 - X116) / hours_in_year</f>
        <v>0</v>
      </c>
      <c r="Y167" s="271">
        <f t="shared" si="31"/>
        <v>0</v>
      </c>
      <c r="Z167" s="256"/>
      <c r="AA167" s="256"/>
    </row>
    <row r="168" spans="5:27" customFormat="1" x14ac:dyDescent="0.35">
      <c r="E168" s="2"/>
      <c r="F168" t="s">
        <v>375</v>
      </c>
      <c r="G168" t="s">
        <v>269</v>
      </c>
      <c r="H168" s="256"/>
      <c r="I168" s="256"/>
      <c r="J168" s="257"/>
      <c r="K168" s="257"/>
      <c r="L168" s="257"/>
      <c r="M168" s="257"/>
      <c r="N168" s="257"/>
      <c r="O168" s="257"/>
      <c r="P168" s="257"/>
      <c r="Q168" s="257"/>
      <c r="R168" s="257"/>
      <c r="S168" s="257"/>
      <c r="T168" s="257"/>
      <c r="U168" s="257"/>
      <c r="V168" s="257"/>
      <c r="W168" s="257"/>
      <c r="X168" s="257"/>
      <c r="Y168" s="257"/>
      <c r="Z168" s="256"/>
      <c r="AA168" s="256"/>
    </row>
    <row r="169" spans="5:27" customFormat="1" x14ac:dyDescent="0.35">
      <c r="E169" s="2"/>
      <c r="F169" s="28" t="s">
        <v>376</v>
      </c>
      <c r="G169" s="28" t="s">
        <v>269</v>
      </c>
      <c r="H169" s="258"/>
      <c r="I169" s="258"/>
      <c r="J169" s="259"/>
      <c r="K169" s="259"/>
      <c r="L169" s="259"/>
      <c r="M169" s="259"/>
      <c r="N169" s="259"/>
      <c r="O169" s="259"/>
      <c r="P169" s="259"/>
      <c r="Q169" s="259"/>
      <c r="R169" s="259"/>
      <c r="S169" s="259"/>
      <c r="T169" s="259"/>
      <c r="U169" s="259"/>
      <c r="V169" s="259"/>
      <c r="W169" s="259"/>
      <c r="X169" s="259"/>
      <c r="Y169" s="259"/>
      <c r="Z169" s="256"/>
      <c r="AA169" s="256"/>
    </row>
    <row r="170" spans="5:27" customFormat="1" x14ac:dyDescent="0.35">
      <c r="E170" s="2"/>
      <c r="J170" s="79"/>
      <c r="K170" s="79"/>
      <c r="L170" s="79"/>
      <c r="M170" s="79"/>
      <c r="N170" s="79"/>
      <c r="O170" s="79"/>
      <c r="P170" s="79"/>
      <c r="Q170" s="79"/>
      <c r="R170" s="79"/>
      <c r="S170" s="79"/>
      <c r="T170" s="79"/>
      <c r="U170" s="79"/>
      <c r="V170" s="79"/>
      <c r="W170" s="79"/>
      <c r="X170" s="79"/>
      <c r="Y170" s="79"/>
    </row>
    <row r="171" spans="5:27" customFormat="1" x14ac:dyDescent="0.35">
      <c r="E171" s="27" t="s">
        <v>621</v>
      </c>
      <c r="J171" s="79"/>
      <c r="K171" s="79"/>
      <c r="L171" s="79"/>
      <c r="M171" s="79"/>
      <c r="N171" s="79"/>
      <c r="O171" s="79"/>
      <c r="P171" s="79"/>
      <c r="Q171" s="79"/>
      <c r="R171" s="79"/>
      <c r="S171" s="79"/>
      <c r="T171" s="79"/>
      <c r="U171" s="79"/>
      <c r="V171" s="79"/>
      <c r="W171" s="79"/>
      <c r="X171" s="79"/>
      <c r="Y171" s="79"/>
    </row>
    <row r="172" spans="5:27" customFormat="1" x14ac:dyDescent="0.35">
      <c r="E172" s="2"/>
      <c r="F172" s="19" t="s">
        <v>189</v>
      </c>
      <c r="G172" s="19" t="s">
        <v>269</v>
      </c>
      <c r="H172" s="255"/>
      <c r="I172" s="255"/>
      <c r="J172" s="269"/>
      <c r="K172" s="269"/>
      <c r="L172" s="269"/>
      <c r="M172" s="269"/>
      <c r="N172" s="269"/>
      <c r="O172" s="269"/>
      <c r="P172" s="269"/>
      <c r="Q172" s="269"/>
      <c r="R172" s="270">
        <f t="shared" ref="R172:S172" si="32">hundred * $H63 * R93 / $H35 / hours_in_year</f>
        <v>-4.3615295372736722E-2</v>
      </c>
      <c r="S172" s="270">
        <f t="shared" si="32"/>
        <v>-4.1734635847490271E-2</v>
      </c>
      <c r="T172" s="270">
        <f t="shared" ref="T172:U172" si="33">hundred * $H63 * T93 / $H35 / hours_in_year</f>
        <v>-4.3615295372736722E-2</v>
      </c>
      <c r="U172" s="270">
        <f t="shared" si="33"/>
        <v>-4.3615295372736722E-2</v>
      </c>
      <c r="V172" s="270">
        <f t="shared" ref="V172:W172" si="34">hundred * $H63 * V93 / $H35 / hours_in_year</f>
        <v>-4.1734635847490271E-2</v>
      </c>
      <c r="W172" s="270">
        <f t="shared" si="34"/>
        <v>-4.1734635847490271E-2</v>
      </c>
      <c r="X172" s="270">
        <f t="shared" ref="X172:Y172" si="35">hundred * $H63 * X93 / $H35 / hours_in_year</f>
        <v>-4.1094411328257439E-2</v>
      </c>
      <c r="Y172" s="270">
        <f t="shared" si="35"/>
        <v>-4.1094411328257439E-2</v>
      </c>
      <c r="Z172" s="256"/>
      <c r="AA172" s="256"/>
    </row>
    <row r="173" spans="5:27" customFormat="1" x14ac:dyDescent="0.35">
      <c r="E173" s="2"/>
      <c r="F173" t="s">
        <v>191</v>
      </c>
      <c r="G173" t="s">
        <v>269</v>
      </c>
      <c r="H173" s="256"/>
      <c r="I173" s="256"/>
      <c r="J173" s="257"/>
      <c r="K173" s="257"/>
      <c r="L173" s="257"/>
      <c r="M173" s="257"/>
      <c r="N173" s="257"/>
      <c r="O173" s="257"/>
      <c r="P173" s="257"/>
      <c r="Q173" s="257"/>
      <c r="R173" s="271">
        <f t="shared" ref="R173:S173" si="36">hundred * $H64 * R94 / $H36 / hours_in_year</f>
        <v>0</v>
      </c>
      <c r="S173" s="271">
        <f t="shared" si="36"/>
        <v>0</v>
      </c>
      <c r="T173" s="271">
        <f t="shared" ref="T173:U173" si="37">hundred * $H64 * T94 / $H36 / hours_in_year</f>
        <v>0</v>
      </c>
      <c r="U173" s="271">
        <f t="shared" si="37"/>
        <v>0</v>
      </c>
      <c r="V173" s="271">
        <f t="shared" ref="V173:W173" si="38">hundred * $H64 * V94 / $H36 / hours_in_year</f>
        <v>0</v>
      </c>
      <c r="W173" s="271">
        <f t="shared" si="38"/>
        <v>0</v>
      </c>
      <c r="X173" s="271">
        <f t="shared" ref="X173:Y173" si="39">hundred * $H64 * X94 / $H36 / hours_in_year</f>
        <v>0</v>
      </c>
      <c r="Y173" s="271">
        <f t="shared" si="39"/>
        <v>0</v>
      </c>
      <c r="Z173" s="256"/>
      <c r="AA173" s="256"/>
    </row>
    <row r="174" spans="5:27" customFormat="1" x14ac:dyDescent="0.35">
      <c r="E174" s="2"/>
      <c r="F174" t="s">
        <v>192</v>
      </c>
      <c r="G174" t="s">
        <v>269</v>
      </c>
      <c r="H174" s="256"/>
      <c r="I174" s="256"/>
      <c r="J174" s="257"/>
      <c r="K174" s="257"/>
      <c r="L174" s="257"/>
      <c r="M174" s="257"/>
      <c r="N174" s="257"/>
      <c r="O174" s="257"/>
      <c r="P174" s="257"/>
      <c r="Q174" s="257"/>
      <c r="R174" s="271">
        <f t="shared" ref="R174:S174" si="40">hundred * $H65 * R95 / $H37 / hours_in_year</f>
        <v>-9.0978384532800272E-2</v>
      </c>
      <c r="S174" s="271">
        <f t="shared" si="40"/>
        <v>-8.7055463364872174E-2</v>
      </c>
      <c r="T174" s="271">
        <f t="shared" ref="T174:U174" si="41">hundred * $H65 * T95 / $H37 / hours_in_year</f>
        <v>-9.0978384532800272E-2</v>
      </c>
      <c r="U174" s="271">
        <f t="shared" si="41"/>
        <v>-9.0978384532800272E-2</v>
      </c>
      <c r="V174" s="271">
        <f t="shared" ref="V174:W174" si="42">hundred * $H65 * V95 / $H37 / hours_in_year</f>
        <v>-8.7055463364872174E-2</v>
      </c>
      <c r="W174" s="271">
        <f t="shared" si="42"/>
        <v>-8.7055463364872174E-2</v>
      </c>
      <c r="X174" s="271">
        <f t="shared" ref="X174:Y174" si="43">hundred * $H65 * X95 / $H37 / hours_in_year</f>
        <v>-8.5720000839620059E-2</v>
      </c>
      <c r="Y174" s="271">
        <f t="shared" si="43"/>
        <v>-8.5720000839620059E-2</v>
      </c>
      <c r="Z174" s="256"/>
      <c r="AA174" s="256"/>
    </row>
    <row r="175" spans="5:27" customFormat="1" x14ac:dyDescent="0.35">
      <c r="E175" s="2"/>
      <c r="F175" t="s">
        <v>193</v>
      </c>
      <c r="G175" t="s">
        <v>269</v>
      </c>
      <c r="H175" s="256"/>
      <c r="I175" s="256"/>
      <c r="J175" s="257"/>
      <c r="K175" s="257"/>
      <c r="L175" s="257"/>
      <c r="M175" s="257"/>
      <c r="N175" s="257"/>
      <c r="O175" s="257"/>
      <c r="P175" s="257"/>
      <c r="Q175" s="257"/>
      <c r="R175" s="271">
        <f t="shared" ref="R175:S175" si="44">hundred * $H66 * R96 / $H38 / hours_in_year</f>
        <v>-2.3540462707121183E-2</v>
      </c>
      <c r="S175" s="271">
        <f t="shared" si="44"/>
        <v>-2.252541523259393E-2</v>
      </c>
      <c r="T175" s="271">
        <f t="shared" ref="T175:U175" si="45">hundred * $H66 * T96 / $H38 / hours_in_year</f>
        <v>-2.3540462707121183E-2</v>
      </c>
      <c r="U175" s="271">
        <f t="shared" si="45"/>
        <v>-2.3540462707121183E-2</v>
      </c>
      <c r="V175" s="271">
        <f t="shared" ref="V175:W175" si="46">hundred * $H66 * V96 / $H38 / hours_in_year</f>
        <v>-2.252541523259393E-2</v>
      </c>
      <c r="W175" s="271">
        <f t="shared" si="46"/>
        <v>-2.252541523259393E-2</v>
      </c>
      <c r="X175" s="271">
        <f t="shared" ref="X175:Y175" si="47">hundred * $H66 * X96 / $H38 / hours_in_year</f>
        <v>-2.2179867156159126E-2</v>
      </c>
      <c r="Y175" s="271">
        <f t="shared" si="47"/>
        <v>-2.2179867156159126E-2</v>
      </c>
      <c r="Z175" s="256"/>
      <c r="AA175" s="256"/>
    </row>
    <row r="176" spans="5:27" customFormat="1" x14ac:dyDescent="0.35">
      <c r="E176" s="2"/>
      <c r="F176" t="s">
        <v>194</v>
      </c>
      <c r="G176" t="s">
        <v>269</v>
      </c>
      <c r="H176" s="256"/>
      <c r="I176" s="256"/>
      <c r="J176" s="257"/>
      <c r="K176" s="257"/>
      <c r="L176" s="257"/>
      <c r="M176" s="257"/>
      <c r="N176" s="257"/>
      <c r="O176" s="257"/>
      <c r="P176" s="257"/>
      <c r="Q176" s="257"/>
      <c r="R176" s="271">
        <f t="shared" ref="R176:S176" si="48">hundred * $H67 * R97 / $H39 / hours_in_year</f>
        <v>-6.4853538915793721E-2</v>
      </c>
      <c r="S176" s="271">
        <f t="shared" si="48"/>
        <v>-6.2057101916672339E-2</v>
      </c>
      <c r="T176" s="271">
        <f t="shared" ref="T176:U176" si="49">hundred * $H67 * T97 / $H39 / hours_in_year</f>
        <v>-6.4853538915793721E-2</v>
      </c>
      <c r="U176" s="271">
        <f t="shared" si="49"/>
        <v>-6.4853538915793721E-2</v>
      </c>
      <c r="V176" s="271">
        <f t="shared" ref="V176:W176" si="50">hundred * $H67 * V97 / $H39 / hours_in_year</f>
        <v>-6.2057101916672339E-2</v>
      </c>
      <c r="W176" s="271">
        <f t="shared" si="50"/>
        <v>-6.2057101916672339E-2</v>
      </c>
      <c r="X176" s="271">
        <f t="shared" ref="X176:Y176" si="51">hundred * $H67 * X97 / $H39 / hours_in_year</f>
        <v>-6.1105123363779955E-2</v>
      </c>
      <c r="Y176" s="271">
        <f t="shared" si="51"/>
        <v>-6.1105123363779955E-2</v>
      </c>
      <c r="Z176" s="256"/>
      <c r="AA176" s="256"/>
    </row>
    <row r="177" spans="2:27" x14ac:dyDescent="0.35">
      <c r="D177"/>
      <c r="F177" t="s">
        <v>195</v>
      </c>
      <c r="G177" t="s">
        <v>269</v>
      </c>
      <c r="H177" s="256"/>
      <c r="I177" s="256"/>
      <c r="J177" s="257"/>
      <c r="K177" s="257"/>
      <c r="L177" s="257"/>
      <c r="M177" s="257"/>
      <c r="N177" s="257"/>
      <c r="O177" s="257"/>
      <c r="P177" s="257"/>
      <c r="Q177" s="257"/>
      <c r="R177" s="271">
        <f t="shared" ref="R177:S177" si="52">hundred * $H68 * R98 / $H40 / hours_in_year</f>
        <v>-4.5883370102938019E-2</v>
      </c>
      <c r="S177" s="271">
        <f t="shared" si="52"/>
        <v>-4.3904912859967296E-2</v>
      </c>
      <c r="T177" s="271">
        <f t="shared" ref="T177:U177" si="53">hundred * $H68 * T98 / $H40 / hours_in_year</f>
        <v>-4.5883370102938019E-2</v>
      </c>
      <c r="U177" s="271">
        <f t="shared" si="53"/>
        <v>-4.5883370102938019E-2</v>
      </c>
      <c r="V177" s="271">
        <f t="shared" ref="V177:W177" si="54">hundred * $H68 * V98 / $H40 / hours_in_year</f>
        <v>-4.3904912859967296E-2</v>
      </c>
      <c r="W177" s="271">
        <f t="shared" si="54"/>
        <v>-4.3904912859967296E-2</v>
      </c>
      <c r="X177" s="271">
        <f t="shared" ref="X177:Y177" si="55">hundred * $H68 * X98 / $H40 / hours_in_year</f>
        <v>-4.3231395500658111E-2</v>
      </c>
      <c r="Y177" s="271">
        <f t="shared" si="55"/>
        <v>-4.3231395500658111E-2</v>
      </c>
      <c r="Z177" s="256"/>
      <c r="AA177" s="256"/>
    </row>
    <row r="178" spans="2:27" x14ac:dyDescent="0.35">
      <c r="D178"/>
      <c r="F178" t="s">
        <v>196</v>
      </c>
      <c r="G178" t="s">
        <v>269</v>
      </c>
      <c r="H178" s="256"/>
      <c r="I178" s="256"/>
      <c r="J178" s="257"/>
      <c r="K178" s="257"/>
      <c r="L178" s="257"/>
      <c r="M178" s="257"/>
      <c r="N178" s="257"/>
      <c r="O178" s="257"/>
      <c r="P178" s="257"/>
      <c r="Q178" s="257"/>
      <c r="R178" s="271">
        <f t="shared" ref="R178:S178" si="56">hundred * $H69 * R99 / $H41 / hours_in_year</f>
        <v>0</v>
      </c>
      <c r="S178" s="271">
        <f t="shared" si="56"/>
        <v>0</v>
      </c>
      <c r="T178" s="271">
        <f t="shared" ref="T178:U178" si="57">hundred * $H69 * T99 / $H41 / hours_in_year</f>
        <v>0</v>
      </c>
      <c r="U178" s="271">
        <f t="shared" si="57"/>
        <v>0</v>
      </c>
      <c r="V178" s="271">
        <f t="shared" ref="V178:W178" si="58">hundred * $H69 * V99 / $H41 / hours_in_year</f>
        <v>0</v>
      </c>
      <c r="W178" s="271">
        <f t="shared" si="58"/>
        <v>0</v>
      </c>
      <c r="X178" s="271">
        <f t="shared" ref="X178:Y178" si="59">hundred * $H69 * X99 / $H41 / hours_in_year</f>
        <v>0</v>
      </c>
      <c r="Y178" s="271">
        <f t="shared" si="59"/>
        <v>0</v>
      </c>
      <c r="Z178" s="256"/>
      <c r="AA178" s="256"/>
    </row>
    <row r="179" spans="2:27" x14ac:dyDescent="0.35">
      <c r="D179"/>
      <c r="F179" t="s">
        <v>197</v>
      </c>
      <c r="G179" t="s">
        <v>269</v>
      </c>
      <c r="H179" s="256"/>
      <c r="I179" s="256"/>
      <c r="J179" s="257"/>
      <c r="K179" s="257"/>
      <c r="L179" s="257"/>
      <c r="M179" s="257"/>
      <c r="N179" s="257"/>
      <c r="O179" s="257"/>
      <c r="P179" s="257"/>
      <c r="Q179" s="257"/>
      <c r="R179" s="271">
        <f t="shared" ref="R179:S179" si="60">hundred * $H70 * R100 / $H42 / hours_in_year</f>
        <v>-0.14849445962140315</v>
      </c>
      <c r="S179" s="271">
        <f t="shared" si="60"/>
        <v>-0.14209148750928763</v>
      </c>
      <c r="T179" s="271">
        <f t="shared" ref="T179:U179" si="61">hundred * $H70 * T100 / $H42 / hours_in_year</f>
        <v>-0.14849445962140315</v>
      </c>
      <c r="U179" s="271">
        <f t="shared" si="61"/>
        <v>-0.14849445962140315</v>
      </c>
      <c r="V179" s="271">
        <f t="shared" ref="V179:W179" si="62">hundred * $H70 * V100 / $H42 / hours_in_year</f>
        <v>-0.14209148750928763</v>
      </c>
      <c r="W179" s="271">
        <f t="shared" si="62"/>
        <v>-0.14209148750928763</v>
      </c>
      <c r="X179" s="271">
        <f t="shared" ref="X179:Y179" si="63">hundred * $H70 * X100 / $H42 / hours_in_year</f>
        <v>-0.13991175232218445</v>
      </c>
      <c r="Y179" s="271">
        <f t="shared" si="63"/>
        <v>-0.13991175232218445</v>
      </c>
      <c r="Z179" s="256"/>
      <c r="AA179" s="256"/>
    </row>
    <row r="180" spans="2:27" x14ac:dyDescent="0.35">
      <c r="D180"/>
      <c r="F180" t="s">
        <v>198</v>
      </c>
      <c r="G180" t="s">
        <v>269</v>
      </c>
      <c r="H180" s="256"/>
      <c r="I180" s="256"/>
      <c r="J180" s="257"/>
      <c r="K180" s="257"/>
      <c r="L180" s="257"/>
      <c r="M180" s="257"/>
      <c r="N180" s="257"/>
      <c r="O180" s="257"/>
      <c r="P180" s="257"/>
      <c r="Q180" s="257"/>
      <c r="R180" s="271">
        <f t="shared" ref="R180:S180" si="64">hundred * $H71 * R101 / $H43 / hours_in_year</f>
        <v>-5.7025341107239377E-2</v>
      </c>
      <c r="S180" s="271">
        <f t="shared" si="64"/>
        <v>-5.4566450252156576E-2</v>
      </c>
      <c r="T180" s="271">
        <f t="shared" ref="T180:U180" si="65">hundred * $H71 * T101 / $H43 / hours_in_year</f>
        <v>-5.7025341107239377E-2</v>
      </c>
      <c r="U180" s="271">
        <f t="shared" si="65"/>
        <v>-5.7025341107239377E-2</v>
      </c>
      <c r="V180" s="271">
        <f t="shared" ref="V180:W180" si="66">hundred * $H71 * V101 / $H43 / hours_in_year</f>
        <v>-5.4566450252156576E-2</v>
      </c>
      <c r="W180" s="271">
        <f t="shared" si="66"/>
        <v>-5.4566450252156576E-2</v>
      </c>
      <c r="X180" s="271">
        <f t="shared" ref="X180:Y180" si="67">hundred * $H71 * X101 / $H43 / hours_in_year</f>
        <v>0</v>
      </c>
      <c r="Y180" s="271">
        <f t="shared" si="67"/>
        <v>0</v>
      </c>
      <c r="Z180" s="256"/>
      <c r="AA180" s="256"/>
    </row>
    <row r="181" spans="2:27" x14ac:dyDescent="0.35">
      <c r="D181"/>
      <c r="F181" t="s">
        <v>199</v>
      </c>
      <c r="G181" t="s">
        <v>269</v>
      </c>
      <c r="H181" s="256"/>
      <c r="I181" s="256"/>
      <c r="J181" s="257"/>
      <c r="K181" s="257"/>
      <c r="L181" s="257"/>
      <c r="M181" s="257"/>
      <c r="N181" s="257"/>
      <c r="O181" s="257"/>
      <c r="P181" s="257"/>
      <c r="Q181" s="257"/>
      <c r="R181" s="271">
        <f t="shared" ref="R181:S181" si="68">hundred * $H72 * R102 / $H44 / hours_in_year</f>
        <v>-0.14735203025411164</v>
      </c>
      <c r="S181" s="271">
        <f t="shared" si="68"/>
        <v>0</v>
      </c>
      <c r="T181" s="271">
        <f t="shared" ref="T181:U181" si="69">hundred * $H72 * T102 / $H44 / hours_in_year</f>
        <v>-0.14735203025411164</v>
      </c>
      <c r="U181" s="271">
        <f t="shared" si="69"/>
        <v>-0.14735203025411164</v>
      </c>
      <c r="V181" s="271">
        <f t="shared" ref="V181:W181" si="70">hundred * $H72 * V102 / $H44 / hours_in_year</f>
        <v>0</v>
      </c>
      <c r="W181" s="271">
        <f t="shared" si="70"/>
        <v>0</v>
      </c>
      <c r="X181" s="271">
        <f t="shared" ref="X181:Y181" si="71">hundred * $H72 * X102 / $H44 / hours_in_year</f>
        <v>0</v>
      </c>
      <c r="Y181" s="271">
        <f t="shared" si="71"/>
        <v>0</v>
      </c>
      <c r="Z181" s="256"/>
      <c r="AA181" s="256"/>
    </row>
    <row r="182" spans="2:27" x14ac:dyDescent="0.35">
      <c r="D182"/>
      <c r="F182" t="s">
        <v>375</v>
      </c>
      <c r="G182" t="s">
        <v>269</v>
      </c>
      <c r="H182" s="256"/>
      <c r="I182" s="256"/>
      <c r="J182" s="257"/>
      <c r="K182" s="257"/>
      <c r="L182" s="257"/>
      <c r="M182" s="257"/>
      <c r="N182" s="257"/>
      <c r="O182" s="257"/>
      <c r="P182" s="257"/>
      <c r="Q182" s="257"/>
      <c r="R182" s="257"/>
      <c r="S182" s="257"/>
      <c r="T182" s="257"/>
      <c r="U182" s="257"/>
      <c r="V182" s="257"/>
      <c r="W182" s="257"/>
      <c r="X182" s="257"/>
      <c r="Y182" s="257"/>
      <c r="Z182" s="256"/>
      <c r="AA182" s="256"/>
    </row>
    <row r="183" spans="2:27" x14ac:dyDescent="0.35">
      <c r="D183"/>
      <c r="F183" s="28" t="s">
        <v>376</v>
      </c>
      <c r="G183" s="28" t="s">
        <v>269</v>
      </c>
      <c r="H183" s="258"/>
      <c r="I183" s="258"/>
      <c r="J183" s="259"/>
      <c r="K183" s="259"/>
      <c r="L183" s="259"/>
      <c r="M183" s="259"/>
      <c r="N183" s="259"/>
      <c r="O183" s="259"/>
      <c r="P183" s="259"/>
      <c r="Q183" s="259"/>
      <c r="R183" s="259"/>
      <c r="S183" s="259"/>
      <c r="T183" s="259"/>
      <c r="U183" s="259"/>
      <c r="V183" s="259"/>
      <c r="W183" s="259"/>
      <c r="X183" s="259"/>
      <c r="Y183" s="259"/>
      <c r="Z183" s="256"/>
      <c r="AA183" s="256"/>
    </row>
    <row r="184" spans="2:27" x14ac:dyDescent="0.35">
      <c r="D184"/>
      <c r="E184"/>
      <c r="J184" s="79"/>
      <c r="K184" s="79"/>
      <c r="L184" s="79"/>
      <c r="M184" s="79"/>
      <c r="N184" s="79"/>
      <c r="O184" s="79"/>
      <c r="P184" s="79"/>
      <c r="Q184" s="79"/>
      <c r="R184" s="79"/>
      <c r="S184" s="79"/>
      <c r="T184" s="79"/>
      <c r="U184" s="79"/>
      <c r="V184" s="79"/>
      <c r="W184" s="79"/>
      <c r="X184" s="79"/>
      <c r="Y184" s="79"/>
    </row>
    <row r="185" spans="2:27" x14ac:dyDescent="0.35">
      <c r="B185" s="25" t="s">
        <v>678</v>
      </c>
      <c r="C185" s="25"/>
      <c r="D185" s="25"/>
      <c r="E185" s="25"/>
      <c r="F185" s="25"/>
      <c r="G185" s="25"/>
      <c r="H185" s="25"/>
      <c r="I185" s="25"/>
      <c r="J185" s="174"/>
      <c r="K185" s="174"/>
      <c r="L185" s="174"/>
      <c r="M185" s="174"/>
      <c r="N185" s="174"/>
      <c r="O185" s="174"/>
      <c r="P185" s="174"/>
      <c r="Q185" s="174"/>
      <c r="R185" s="174"/>
      <c r="S185" s="174"/>
      <c r="T185" s="174"/>
      <c r="U185" s="174"/>
      <c r="V185" s="174"/>
      <c r="W185" s="174"/>
      <c r="X185" s="174"/>
      <c r="Y185" s="174"/>
      <c r="Z185" s="25"/>
      <c r="AA185" s="25"/>
    </row>
    <row r="186" spans="2:27" x14ac:dyDescent="0.35">
      <c r="B186" s="196"/>
      <c r="J186" s="79"/>
      <c r="K186" s="79"/>
      <c r="L186" s="79"/>
      <c r="M186" s="79"/>
      <c r="N186" s="79"/>
      <c r="O186" s="79"/>
      <c r="P186" s="79"/>
      <c r="Q186" s="79"/>
      <c r="R186" s="79"/>
      <c r="S186" s="79"/>
      <c r="T186" s="79"/>
      <c r="U186" s="79"/>
      <c r="V186" s="79"/>
      <c r="W186" s="79"/>
      <c r="X186" s="79"/>
      <c r="Y186" s="79"/>
    </row>
    <row r="187" spans="2:27" x14ac:dyDescent="0.35">
      <c r="B187" s="196"/>
      <c r="C187" s="24" t="s">
        <v>679</v>
      </c>
      <c r="J187" s="79"/>
      <c r="K187" s="79"/>
      <c r="L187" s="79"/>
      <c r="M187" s="79"/>
      <c r="N187" s="79"/>
      <c r="O187" s="79"/>
      <c r="P187" s="79"/>
      <c r="Q187" s="79"/>
      <c r="R187" s="79"/>
      <c r="S187" s="79"/>
      <c r="T187" s="79"/>
      <c r="U187" s="79"/>
      <c r="V187" s="79"/>
      <c r="W187" s="79"/>
      <c r="X187" s="79"/>
      <c r="Y187" s="79"/>
    </row>
    <row r="188" spans="2:27" x14ac:dyDescent="0.35">
      <c r="B188" s="196"/>
      <c r="C188" s="24" t="s">
        <v>680</v>
      </c>
      <c r="I188" t="s">
        <v>154</v>
      </c>
      <c r="J188" s="79"/>
      <c r="K188" s="79"/>
      <c r="L188" s="79"/>
      <c r="M188" s="79"/>
      <c r="N188" s="79"/>
      <c r="O188" s="79"/>
      <c r="P188" s="79"/>
      <c r="Q188" s="79"/>
      <c r="R188" s="79"/>
      <c r="S188" s="79"/>
      <c r="T188" s="79"/>
      <c r="U188" s="79"/>
      <c r="V188" s="79"/>
      <c r="W188" s="79"/>
      <c r="X188" s="79"/>
      <c r="Y188" s="79"/>
      <c r="AA188" t="s">
        <v>681</v>
      </c>
    </row>
    <row r="189" spans="2:27" x14ac:dyDescent="0.35">
      <c r="B189" s="196"/>
      <c r="J189" s="79"/>
      <c r="K189" s="79"/>
      <c r="L189" s="79"/>
      <c r="M189" s="79"/>
      <c r="N189" s="79"/>
      <c r="O189" s="79"/>
      <c r="P189" s="79"/>
      <c r="Q189" s="79"/>
      <c r="R189" s="79"/>
      <c r="S189" s="79"/>
      <c r="T189" s="79"/>
      <c r="U189" s="79"/>
      <c r="V189" s="79"/>
      <c r="W189" s="79"/>
      <c r="X189" s="79"/>
      <c r="Y189" s="79"/>
    </row>
    <row r="190" spans="2:27" x14ac:dyDescent="0.35">
      <c r="C190" s="26" t="str">
        <f ca="1">INDEX('Version control'!$H$38:$H$61,MATCH($A$1,'Version control'!$F$38:$F$61,0),1)&amp;"-D: Reactive power charges, all customer categories"</f>
        <v>Section 113-D: Reactive power charges, all customer categories</v>
      </c>
      <c r="D190" s="26"/>
      <c r="E190" s="26"/>
      <c r="F190" s="26"/>
      <c r="G190" s="26"/>
      <c r="H190" s="26"/>
      <c r="I190" s="26"/>
      <c r="J190" s="80"/>
      <c r="K190" s="80"/>
      <c r="L190" s="80"/>
      <c r="M190" s="80"/>
      <c r="N190" s="80"/>
      <c r="O190" s="80"/>
      <c r="P190" s="80"/>
      <c r="Q190" s="80"/>
      <c r="R190" s="80"/>
      <c r="S190" s="80"/>
      <c r="T190" s="80"/>
      <c r="U190" s="80"/>
      <c r="V190" s="80"/>
      <c r="W190" s="80"/>
      <c r="X190" s="80"/>
      <c r="Y190" s="80"/>
      <c r="Z190" s="26"/>
      <c r="AA190" s="26"/>
    </row>
    <row r="191" spans="2:27" x14ac:dyDescent="0.35">
      <c r="C191" s="27"/>
      <c r="D191"/>
      <c r="E191" s="27"/>
      <c r="I191" t="s">
        <v>154</v>
      </c>
      <c r="J191" s="79"/>
      <c r="K191" s="79"/>
      <c r="L191" s="79"/>
      <c r="M191" s="79"/>
      <c r="N191" s="79"/>
      <c r="O191" s="79"/>
      <c r="P191" s="79"/>
      <c r="Q191" s="79"/>
      <c r="R191" s="79"/>
      <c r="S191" s="79"/>
      <c r="T191" s="79"/>
      <c r="U191" s="79"/>
      <c r="V191" s="79"/>
      <c r="W191" s="79"/>
      <c r="X191" s="79"/>
      <c r="Y191" s="79"/>
      <c r="AA191" t="s">
        <v>682</v>
      </c>
    </row>
    <row r="192" spans="2:27" x14ac:dyDescent="0.35">
      <c r="E192" s="27" t="s">
        <v>620</v>
      </c>
      <c r="J192" s="79"/>
      <c r="K192" s="79"/>
      <c r="L192" s="79"/>
      <c r="M192" s="79"/>
      <c r="N192" s="79"/>
      <c r="O192" s="79"/>
      <c r="P192" s="79"/>
      <c r="Q192" s="79"/>
      <c r="R192" s="79"/>
      <c r="S192" s="79"/>
      <c r="T192" s="79"/>
      <c r="U192" s="79"/>
      <c r="V192" s="79"/>
      <c r="W192" s="79"/>
      <c r="X192" s="79"/>
      <c r="Y192" s="79"/>
    </row>
    <row r="193" spans="4:27" x14ac:dyDescent="0.35">
      <c r="F193" s="19" t="s">
        <v>189</v>
      </c>
      <c r="G193" s="19" t="s">
        <v>272</v>
      </c>
      <c r="H193" s="255"/>
      <c r="I193" s="255"/>
      <c r="J193" s="269"/>
      <c r="K193" s="269"/>
      <c r="L193" s="269"/>
      <c r="M193" s="269"/>
      <c r="N193" s="269"/>
      <c r="O193" s="269"/>
      <c r="P193" s="269"/>
      <c r="Q193" s="269"/>
      <c r="R193" s="269"/>
      <c r="S193" s="269"/>
      <c r="T193" s="269"/>
      <c r="U193" s="269"/>
      <c r="V193" s="269"/>
      <c r="W193" s="269"/>
      <c r="X193" s="269"/>
      <c r="Y193" s="269"/>
      <c r="Z193" s="256"/>
      <c r="AA193" s="256"/>
    </row>
    <row r="194" spans="4:27" x14ac:dyDescent="0.35">
      <c r="F194" t="s">
        <v>191</v>
      </c>
      <c r="G194" t="s">
        <v>272</v>
      </c>
      <c r="H194" s="256"/>
      <c r="I194" s="256"/>
      <c r="J194" s="257"/>
      <c r="K194" s="257"/>
      <c r="L194" s="257"/>
      <c r="M194" s="257"/>
      <c r="N194" s="257"/>
      <c r="O194" s="257"/>
      <c r="P194" s="257"/>
      <c r="Q194" s="257"/>
      <c r="R194" s="257"/>
      <c r="S194" s="257"/>
      <c r="T194" s="257"/>
      <c r="U194" s="257"/>
      <c r="V194" s="257"/>
      <c r="W194" s="257"/>
      <c r="X194" s="257"/>
      <c r="Y194" s="257"/>
      <c r="Z194" s="256"/>
      <c r="AA194" s="256"/>
    </row>
    <row r="195" spans="4:27" x14ac:dyDescent="0.35">
      <c r="F195" t="s">
        <v>192</v>
      </c>
      <c r="G195" t="s">
        <v>272</v>
      </c>
      <c r="H195" s="256"/>
      <c r="I195" s="256"/>
      <c r="J195" s="271">
        <f t="shared" ref="J195:K195" si="72">ABS(J125 + J160)*(1-J82)*PowerFactor*$H23</f>
        <v>6.0718861036865357E-2</v>
      </c>
      <c r="K195" s="271">
        <f t="shared" si="72"/>
        <v>6.0718861036865357E-2</v>
      </c>
      <c r="L195" s="271">
        <f t="shared" ref="L195:M195" si="73">ABS(L125 + L160)*(1-L82)*PowerFactor*$H23</f>
        <v>4.3116979929039137E-2</v>
      </c>
      <c r="M195" s="271">
        <f t="shared" si="73"/>
        <v>4.3116979929039137E-2</v>
      </c>
      <c r="N195" s="271">
        <f t="shared" ref="N195:P195" si="74">ABS(N125 + N160)*(1-N82)*PowerFactor*$H23</f>
        <v>3.9856462202616107E-2</v>
      </c>
      <c r="O195" s="271">
        <f t="shared" si="74"/>
        <v>3.0910733215821308E-2</v>
      </c>
      <c r="P195" s="271">
        <f t="shared" si="74"/>
        <v>3.1064296006464612E-2</v>
      </c>
      <c r="Q195" s="271">
        <f t="shared" ref="Q195:S195" si="75">ABS(Q125 + Q160)*(1-Q82)*PowerFactor*$H23</f>
        <v>5.7206879801527076E-2</v>
      </c>
      <c r="R195" s="271">
        <f t="shared" si="75"/>
        <v>2.9803081263851085E-2</v>
      </c>
      <c r="S195" s="271">
        <f t="shared" si="75"/>
        <v>2.8517994273574938E-2</v>
      </c>
      <c r="T195" s="271">
        <f t="shared" ref="T195:U195" si="76">ABS(T125 + T160)*(1-T82)*PowerFactor*$H23</f>
        <v>2.9803081263851085E-2</v>
      </c>
      <c r="U195" s="271">
        <f t="shared" si="76"/>
        <v>2.9803081263851085E-2</v>
      </c>
      <c r="V195" s="271">
        <f t="shared" ref="V195:W195" si="77">ABS(V125 + V160)*(1-V82)*PowerFactor*$H23</f>
        <v>2.8517994273574938E-2</v>
      </c>
      <c r="W195" s="271">
        <f t="shared" si="77"/>
        <v>2.8517994273574938E-2</v>
      </c>
      <c r="X195" s="271">
        <f t="shared" ref="X195:Y195" si="78">ABS(X125 + X160)*(1-X82)*PowerFactor*$H23</f>
        <v>2.8080517851353261E-2</v>
      </c>
      <c r="Y195" s="271">
        <f t="shared" si="78"/>
        <v>2.8080517851353261E-2</v>
      </c>
      <c r="Z195" s="256"/>
      <c r="AA195" s="256"/>
    </row>
    <row r="196" spans="4:27" x14ac:dyDescent="0.35">
      <c r="F196" t="s">
        <v>193</v>
      </c>
      <c r="G196" t="s">
        <v>272</v>
      </c>
      <c r="H196" s="256"/>
      <c r="I196" s="256"/>
      <c r="J196" s="271">
        <f t="shared" ref="J196:K196" si="79">ABS(J126 + J161)*(1-J83)*PowerFactor*$H24</f>
        <v>1.5710875623889339E-2</v>
      </c>
      <c r="K196" s="271">
        <f t="shared" si="79"/>
        <v>1.5710875623889339E-2</v>
      </c>
      <c r="L196" s="271">
        <f t="shared" ref="L196:M196" si="80">ABS(L126 + L161)*(1-L83)*PowerFactor*$H24</f>
        <v>1.1156426477294774E-2</v>
      </c>
      <c r="M196" s="271">
        <f t="shared" si="80"/>
        <v>1.1156426477294774E-2</v>
      </c>
      <c r="N196" s="271">
        <f t="shared" ref="N196:P196" si="81">ABS(N126 + N161)*(1-N83)*PowerFactor*$H24</f>
        <v>1.0312774478647809E-2</v>
      </c>
      <c r="O196" s="271">
        <f t="shared" si="81"/>
        <v>7.9980862075482804E-3</v>
      </c>
      <c r="P196" s="271">
        <f t="shared" si="81"/>
        <v>8.0378202516830938E-3</v>
      </c>
      <c r="Q196" s="271">
        <f t="shared" ref="Q196:S196" si="82">ABS(Q126 + Q161)*(1-Q83)*PowerFactor*$H24</f>
        <v>1.4802157979328563E-2</v>
      </c>
      <c r="R196" s="271">
        <f t="shared" si="82"/>
        <v>7.7114836304446564E-3</v>
      </c>
      <c r="S196" s="271">
        <f t="shared" si="82"/>
        <v>7.3789701161043816E-3</v>
      </c>
      <c r="T196" s="271">
        <f t="shared" ref="T196:U196" si="83">ABS(T126 + T161)*(1-T83)*PowerFactor*$H24</f>
        <v>7.7114836304446564E-3</v>
      </c>
      <c r="U196" s="271">
        <f t="shared" si="83"/>
        <v>7.7114836304446564E-3</v>
      </c>
      <c r="V196" s="271">
        <f t="shared" ref="V196:W196" si="84">ABS(V126 + V161)*(1-V83)*PowerFactor*$H24</f>
        <v>7.3789701161043816E-3</v>
      </c>
      <c r="W196" s="271">
        <f t="shared" si="84"/>
        <v>7.3789701161043816E-3</v>
      </c>
      <c r="X196" s="271">
        <f t="shared" ref="X196:Y196" si="85">ABS(X126 + X161)*(1-X83)*PowerFactor*$H24</f>
        <v>7.265774026116203E-3</v>
      </c>
      <c r="Y196" s="271">
        <f t="shared" si="85"/>
        <v>7.265774026116203E-3</v>
      </c>
      <c r="Z196" s="256"/>
      <c r="AA196" s="256"/>
    </row>
    <row r="197" spans="4:27" x14ac:dyDescent="0.35">
      <c r="F197" t="s">
        <v>194</v>
      </c>
      <c r="G197" t="s">
        <v>272</v>
      </c>
      <c r="H197" s="256"/>
      <c r="I197" s="256"/>
      <c r="J197" s="271">
        <f t="shared" ref="J197:K197" si="86">ABS(J127 + J162)*(1-J84)*PowerFactor*$H25</f>
        <v>4.2747740747638208E-2</v>
      </c>
      <c r="K197" s="271">
        <f t="shared" si="86"/>
        <v>4.2747740747638208E-2</v>
      </c>
      <c r="L197" s="271">
        <f t="shared" ref="L197:M197" si="87">ABS(L127 + L162)*(1-L84)*PowerFactor*$H25</f>
        <v>3.0355534480605913E-2</v>
      </c>
      <c r="M197" s="271">
        <f t="shared" si="87"/>
        <v>3.0355534480605913E-2</v>
      </c>
      <c r="N197" s="271">
        <f t="shared" ref="N197:P197" si="88">ABS(N127 + N162)*(1-N84)*PowerFactor*$H25</f>
        <v>2.8060040723112887E-2</v>
      </c>
      <c r="O197" s="271">
        <f t="shared" si="88"/>
        <v>2.1762002568313565E-2</v>
      </c>
      <c r="P197" s="271">
        <f t="shared" si="88"/>
        <v>1.7103516460712825E-2</v>
      </c>
      <c r="Q197" s="271">
        <f t="shared" ref="Q197:S197" si="89">ABS(Q127 + Q162)*(1-Q84)*PowerFactor*$H25</f>
        <v>4.0275209794403424E-2</v>
      </c>
      <c r="R197" s="271">
        <f t="shared" si="89"/>
        <v>2.0982185264878148E-2</v>
      </c>
      <c r="S197" s="271">
        <f t="shared" si="89"/>
        <v>2.0077448836025594E-2</v>
      </c>
      <c r="T197" s="271">
        <f t="shared" ref="T197:U197" si="90">ABS(T127 + T162)*(1-T84)*PowerFactor*$H25</f>
        <v>2.0982185264878148E-2</v>
      </c>
      <c r="U197" s="271">
        <f t="shared" si="90"/>
        <v>2.0982185264878148E-2</v>
      </c>
      <c r="V197" s="271">
        <f t="shared" ref="V197:W197" si="91">ABS(V127 + V162)*(1-V84)*PowerFactor*$H25</f>
        <v>2.0077448836025594E-2</v>
      </c>
      <c r="W197" s="271">
        <f t="shared" si="91"/>
        <v>2.0077448836025594E-2</v>
      </c>
      <c r="X197" s="271">
        <f t="shared" ref="X197:Y197" si="92">ABS(X127 + X162)*(1-X84)*PowerFactor*$H25</f>
        <v>1.9325868482421647E-2</v>
      </c>
      <c r="Y197" s="271">
        <f t="shared" si="92"/>
        <v>1.9325868482421647E-2</v>
      </c>
      <c r="Z197" s="256"/>
      <c r="AA197" s="256"/>
    </row>
    <row r="198" spans="4:27" x14ac:dyDescent="0.35">
      <c r="F198" t="s">
        <v>195</v>
      </c>
      <c r="G198" t="s">
        <v>272</v>
      </c>
      <c r="H198" s="256"/>
      <c r="I198" s="256"/>
      <c r="J198" s="271">
        <f t="shared" ref="J198:K198" si="93">ABS(J128 + J163)*(1-J85)*PowerFactor*$H26</f>
        <v>2.9875286856513982E-2</v>
      </c>
      <c r="K198" s="271">
        <f t="shared" si="93"/>
        <v>2.9875286856513982E-2</v>
      </c>
      <c r="L198" s="271">
        <f t="shared" ref="L198:M198" si="94">ABS(L128 + L163)*(1-L85)*PowerFactor*$H26</f>
        <v>2.1214695430214231E-2</v>
      </c>
      <c r="M198" s="271">
        <f t="shared" si="94"/>
        <v>2.1214695430214231E-2</v>
      </c>
      <c r="N198" s="271">
        <f t="shared" ref="N198:P198" si="95">ABS(N128 + N163)*(1-N85)*PowerFactor*$H26</f>
        <v>1.9610434403010583E-2</v>
      </c>
      <c r="O198" s="271">
        <f t="shared" si="95"/>
        <v>1.520889894833757E-2</v>
      </c>
      <c r="P198" s="271">
        <f t="shared" si="95"/>
        <v>0</v>
      </c>
      <c r="Q198" s="271">
        <f t="shared" ref="Q198:S198" si="96">ABS(Q128 + Q163)*(1-Q85)*PowerFactor*$H26</f>
        <v>2.8147299126692726E-2</v>
      </c>
      <c r="R198" s="271">
        <f t="shared" si="96"/>
        <v>1.4663904868455268E-2</v>
      </c>
      <c r="S198" s="271">
        <f t="shared" si="96"/>
        <v>1.4031608053026461E-2</v>
      </c>
      <c r="T198" s="271">
        <f t="shared" ref="T198:U198" si="97">ABS(T128 + T163)*(1-T85)*PowerFactor*$H26</f>
        <v>1.4663904868455268E-2</v>
      </c>
      <c r="U198" s="271">
        <f t="shared" si="97"/>
        <v>1.4663904868455268E-2</v>
      </c>
      <c r="V198" s="271">
        <f t="shared" ref="V198:W198" si="98">ABS(V128 + V163)*(1-V85)*PowerFactor*$H26</f>
        <v>1.4031608053026461E-2</v>
      </c>
      <c r="W198" s="271">
        <f t="shared" si="98"/>
        <v>1.4031608053026461E-2</v>
      </c>
      <c r="X198" s="271">
        <f t="shared" ref="X198:Y198" si="99">ABS(X128 + X163)*(1-X85)*PowerFactor*$H26</f>
        <v>1.3221839341938208E-2</v>
      </c>
      <c r="Y198" s="271">
        <f t="shared" si="99"/>
        <v>1.3221839341938208E-2</v>
      </c>
      <c r="Z198" s="256"/>
      <c r="AA198" s="256"/>
    </row>
    <row r="199" spans="4:27" x14ac:dyDescent="0.35">
      <c r="F199" t="s">
        <v>196</v>
      </c>
      <c r="G199" t="s">
        <v>272</v>
      </c>
      <c r="H199" s="256"/>
      <c r="I199" s="256"/>
      <c r="J199" s="271">
        <f t="shared" ref="J199:K199" si="100">ABS(J129 + J164)*(1-J86)*PowerFactor*$H27</f>
        <v>0</v>
      </c>
      <c r="K199" s="271">
        <f t="shared" si="100"/>
        <v>0</v>
      </c>
      <c r="L199" s="271">
        <f t="shared" ref="L199:M199" si="101">ABS(L129 + L164)*(1-L86)*PowerFactor*$H27</f>
        <v>0</v>
      </c>
      <c r="M199" s="271">
        <f t="shared" si="101"/>
        <v>0</v>
      </c>
      <c r="N199" s="271">
        <f t="shared" ref="N199:P199" si="102">ABS(N129 + N164)*(1-N86)*PowerFactor*$H27</f>
        <v>0</v>
      </c>
      <c r="O199" s="271">
        <f t="shared" si="102"/>
        <v>0</v>
      </c>
      <c r="P199" s="271">
        <f t="shared" si="102"/>
        <v>0</v>
      </c>
      <c r="Q199" s="271">
        <f t="shared" ref="Q199:S199" si="103">ABS(Q129 + Q164)*(1-Q86)*PowerFactor*$H27</f>
        <v>0</v>
      </c>
      <c r="R199" s="271">
        <f t="shared" si="103"/>
        <v>0</v>
      </c>
      <c r="S199" s="271">
        <f t="shared" si="103"/>
        <v>0</v>
      </c>
      <c r="T199" s="271">
        <f t="shared" ref="T199:U199" si="104">ABS(T129 + T164)*(1-T86)*PowerFactor*$H27</f>
        <v>0</v>
      </c>
      <c r="U199" s="271">
        <f t="shared" si="104"/>
        <v>0</v>
      </c>
      <c r="V199" s="271">
        <f t="shared" ref="V199:W199" si="105">ABS(V129 + V164)*(1-V86)*PowerFactor*$H27</f>
        <v>0</v>
      </c>
      <c r="W199" s="271">
        <f t="shared" si="105"/>
        <v>0</v>
      </c>
      <c r="X199" s="271">
        <f t="shared" ref="X199:Y199" si="106">ABS(X129 + X164)*(1-X86)*PowerFactor*$H27</f>
        <v>0</v>
      </c>
      <c r="Y199" s="271">
        <f t="shared" si="106"/>
        <v>0</v>
      </c>
      <c r="Z199" s="256"/>
      <c r="AA199" s="256"/>
    </row>
    <row r="200" spans="4:27" x14ac:dyDescent="0.35">
      <c r="F200" t="s">
        <v>197</v>
      </c>
      <c r="G200" t="s">
        <v>272</v>
      </c>
      <c r="H200" s="256"/>
      <c r="I200" s="256"/>
      <c r="J200" s="271">
        <f t="shared" ref="J200:K200" si="107">ABS(J130 + J165)*(1-J87)*PowerFactor*$H28</f>
        <v>6.5032780580659214E-2</v>
      </c>
      <c r="K200" s="271">
        <f t="shared" si="107"/>
        <v>6.5032780580659214E-2</v>
      </c>
      <c r="L200" s="271">
        <f t="shared" ref="L200:M200" si="108">ABS(L130 + L165)*(1-L87)*PowerFactor*$H28</f>
        <v>4.6180330907778976E-2</v>
      </c>
      <c r="M200" s="271">
        <f t="shared" si="108"/>
        <v>4.6180330907778976E-2</v>
      </c>
      <c r="N200" s="271">
        <f t="shared" ref="N200:P200" si="109">ABS(N130 + N165)*(1-N87)*PowerFactor*$H28</f>
        <v>3.4150529399032778E-2</v>
      </c>
      <c r="O200" s="271">
        <f t="shared" si="109"/>
        <v>0</v>
      </c>
      <c r="P200" s="271">
        <f t="shared" si="109"/>
        <v>0</v>
      </c>
      <c r="Q200" s="271">
        <f t="shared" ref="Q200:S200" si="110">ABS(Q130 + Q165)*(1-Q87)*PowerFactor*$H28</f>
        <v>6.1271282074577577E-2</v>
      </c>
      <c r="R200" s="271">
        <f t="shared" si="110"/>
        <v>3.1920513846312476E-2</v>
      </c>
      <c r="S200" s="271">
        <f t="shared" si="110"/>
        <v>3.0544124717159546E-2</v>
      </c>
      <c r="T200" s="271">
        <f t="shared" ref="T200:U200" si="111">ABS(T130 + T165)*(1-T87)*PowerFactor*$H28</f>
        <v>3.1920513846312476E-2</v>
      </c>
      <c r="U200" s="271">
        <f t="shared" si="111"/>
        <v>3.1920513846312476E-2</v>
      </c>
      <c r="V200" s="271">
        <f t="shared" ref="V200:W200" si="112">ABS(V130 + V165)*(1-V87)*PowerFactor*$H28</f>
        <v>3.0544124717159546E-2</v>
      </c>
      <c r="W200" s="271">
        <f t="shared" si="112"/>
        <v>3.0544124717159546E-2</v>
      </c>
      <c r="X200" s="271">
        <f t="shared" ref="X200:Y200" si="113">ABS(X130 + X165)*(1-X87)*PowerFactor*$H28</f>
        <v>2.8268222328881352E-2</v>
      </c>
      <c r="Y200" s="271">
        <f t="shared" si="113"/>
        <v>2.8268222328881352E-2</v>
      </c>
      <c r="Z200" s="256"/>
      <c r="AA200" s="256"/>
    </row>
    <row r="201" spans="4:27" x14ac:dyDescent="0.35">
      <c r="F201" t="s">
        <v>198</v>
      </c>
      <c r="G201" t="s">
        <v>272</v>
      </c>
      <c r="H201" s="256"/>
      <c r="I201" s="256"/>
      <c r="J201" s="271">
        <f t="shared" ref="J201:K201" si="114">ABS(J131 + J166)*(1-J88)*PowerFactor*$H29</f>
        <v>2.1940055927699879E-2</v>
      </c>
      <c r="K201" s="271">
        <f t="shared" si="114"/>
        <v>2.1940055927699879E-2</v>
      </c>
      <c r="L201" s="271">
        <f t="shared" ref="L201:M201" si="115">ABS(L131 + L166)*(1-L88)*PowerFactor*$H29</f>
        <v>1.5579820420252553E-2</v>
      </c>
      <c r="M201" s="271">
        <f t="shared" si="115"/>
        <v>1.5579820420252553E-2</v>
      </c>
      <c r="N201" s="271">
        <f t="shared" ref="N201:P201" si="116">ABS(N131 + N166)*(1-N88)*PowerFactor*$H29</f>
        <v>0</v>
      </c>
      <c r="O201" s="271">
        <f t="shared" si="116"/>
        <v>0</v>
      </c>
      <c r="P201" s="271">
        <f t="shared" si="116"/>
        <v>0</v>
      </c>
      <c r="Q201" s="271">
        <f t="shared" ref="Q201:S201" si="117">ABS(Q131 + Q166)*(1-Q88)*PowerFactor*$H29</f>
        <v>2.067104225707829E-2</v>
      </c>
      <c r="R201" s="271">
        <f t="shared" si="117"/>
        <v>1.0768997615908415E-2</v>
      </c>
      <c r="S201" s="271">
        <f t="shared" si="117"/>
        <v>1.0304646342561903E-2</v>
      </c>
      <c r="T201" s="271">
        <f t="shared" ref="T201:U201" si="118">ABS(T131 + T166)*(1-T88)*PowerFactor*$H29</f>
        <v>1.0768997615908415E-2</v>
      </c>
      <c r="U201" s="271">
        <f t="shared" si="118"/>
        <v>1.0768997615908415E-2</v>
      </c>
      <c r="V201" s="271">
        <f t="shared" ref="V201:W201" si="119">ABS(V131 + V166)*(1-V88)*PowerFactor*$H29</f>
        <v>1.0304646342561903E-2</v>
      </c>
      <c r="W201" s="271">
        <f t="shared" si="119"/>
        <v>1.0304646342561903E-2</v>
      </c>
      <c r="X201" s="271">
        <f t="shared" ref="X201:Y201" si="120">ABS(X131 + X166)*(1-X88)*PowerFactor*$H29</f>
        <v>0</v>
      </c>
      <c r="Y201" s="271">
        <f t="shared" si="120"/>
        <v>0</v>
      </c>
      <c r="Z201" s="256"/>
      <c r="AA201" s="256"/>
    </row>
    <row r="202" spans="4:27" x14ac:dyDescent="0.35">
      <c r="F202" t="s">
        <v>199</v>
      </c>
      <c r="G202" t="s">
        <v>272</v>
      </c>
      <c r="H202" s="256"/>
      <c r="I202" s="256"/>
      <c r="J202" s="271">
        <f t="shared" ref="J202:K202" si="121">ABS(J132 + J167)*(1-J89)*PowerFactor*$H30</f>
        <v>0</v>
      </c>
      <c r="K202" s="271">
        <f t="shared" si="121"/>
        <v>0</v>
      </c>
      <c r="L202" s="271">
        <f t="shared" ref="L202:M202" si="122">ABS(L132 + L167)*(1-L89)*PowerFactor*$H30</f>
        <v>0</v>
      </c>
      <c r="M202" s="271">
        <f t="shared" si="122"/>
        <v>0</v>
      </c>
      <c r="N202" s="271">
        <f t="shared" ref="N202:P202" si="123">ABS(N132 + N167)*(1-N89)*PowerFactor*$H30</f>
        <v>0</v>
      </c>
      <c r="O202" s="271">
        <f t="shared" si="123"/>
        <v>0</v>
      </c>
      <c r="P202" s="271">
        <f t="shared" si="123"/>
        <v>0</v>
      </c>
      <c r="Q202" s="271">
        <f t="shared" ref="Q202:S202" si="124">ABS(Q132 + Q167)*(1-Q89)*PowerFactor*$H30</f>
        <v>4.0808085989459623E-3</v>
      </c>
      <c r="R202" s="271">
        <f t="shared" si="124"/>
        <v>2.1259797898182573E-3</v>
      </c>
      <c r="S202" s="271">
        <f t="shared" si="124"/>
        <v>0</v>
      </c>
      <c r="T202" s="271">
        <f t="shared" ref="T202:U202" si="125">ABS(T132 + T167)*(1-T89)*PowerFactor*$H30</f>
        <v>2.1259797898182573E-3</v>
      </c>
      <c r="U202" s="271">
        <f t="shared" si="125"/>
        <v>2.1259797898182573E-3</v>
      </c>
      <c r="V202" s="271">
        <f t="shared" ref="V202:W202" si="126">ABS(V132 + V167)*(1-V89)*PowerFactor*$H30</f>
        <v>0</v>
      </c>
      <c r="W202" s="271">
        <f t="shared" si="126"/>
        <v>0</v>
      </c>
      <c r="X202" s="271">
        <f t="shared" ref="X202:Y202" si="127">ABS(X132 + X167)*(1-X89)*PowerFactor*$H30</f>
        <v>0</v>
      </c>
      <c r="Y202" s="271">
        <f t="shared" si="127"/>
        <v>0</v>
      </c>
      <c r="Z202" s="256"/>
      <c r="AA202" s="256"/>
    </row>
    <row r="203" spans="4:27" x14ac:dyDescent="0.35">
      <c r="F203" t="s">
        <v>375</v>
      </c>
      <c r="G203" t="s">
        <v>272</v>
      </c>
      <c r="H203" s="256"/>
      <c r="I203" s="256"/>
      <c r="J203" s="257"/>
      <c r="K203" s="257"/>
      <c r="L203" s="257"/>
      <c r="M203" s="257"/>
      <c r="N203" s="257"/>
      <c r="O203" s="257"/>
      <c r="P203" s="257"/>
      <c r="Q203" s="257"/>
      <c r="R203" s="257"/>
      <c r="S203" s="257"/>
      <c r="T203" s="257"/>
      <c r="U203" s="257"/>
      <c r="V203" s="257"/>
      <c r="W203" s="257"/>
      <c r="X203" s="257"/>
      <c r="Y203" s="257"/>
      <c r="Z203" s="256"/>
      <c r="AA203" s="256"/>
    </row>
    <row r="204" spans="4:27" x14ac:dyDescent="0.35">
      <c r="F204" s="28" t="s">
        <v>376</v>
      </c>
      <c r="G204" s="28" t="s">
        <v>272</v>
      </c>
      <c r="H204" s="258"/>
      <c r="I204" s="258"/>
      <c r="J204" s="259"/>
      <c r="K204" s="259"/>
      <c r="L204" s="259"/>
      <c r="M204" s="259"/>
      <c r="N204" s="259"/>
      <c r="O204" s="259"/>
      <c r="P204" s="259"/>
      <c r="Q204" s="259"/>
      <c r="R204" s="259"/>
      <c r="S204" s="259"/>
      <c r="T204" s="259"/>
      <c r="U204" s="259"/>
      <c r="V204" s="259"/>
      <c r="W204" s="259"/>
      <c r="X204" s="259"/>
      <c r="Y204" s="259"/>
      <c r="Z204" s="256"/>
      <c r="AA204" s="256"/>
    </row>
    <row r="205" spans="4:27" x14ac:dyDescent="0.35">
      <c r="D205"/>
      <c r="J205" s="79"/>
      <c r="K205" s="79"/>
      <c r="L205" s="79"/>
      <c r="M205" s="79"/>
      <c r="N205" s="79"/>
      <c r="O205" s="79"/>
      <c r="P205" s="79"/>
      <c r="Q205" s="79"/>
      <c r="R205" s="79"/>
      <c r="S205" s="79"/>
      <c r="T205" s="79"/>
      <c r="U205" s="79"/>
      <c r="V205" s="79"/>
      <c r="W205" s="79"/>
      <c r="X205" s="79"/>
      <c r="Y205" s="79"/>
    </row>
    <row r="206" spans="4:27" x14ac:dyDescent="0.35">
      <c r="E206" s="27" t="s">
        <v>621</v>
      </c>
      <c r="J206" s="79"/>
      <c r="K206" s="79"/>
      <c r="L206" s="79"/>
      <c r="M206" s="79"/>
      <c r="N206" s="79"/>
      <c r="O206" s="79"/>
      <c r="P206" s="79"/>
      <c r="Q206" s="79"/>
      <c r="R206" s="79"/>
      <c r="S206" s="79"/>
      <c r="T206" s="79"/>
      <c r="U206" s="79"/>
      <c r="V206" s="79"/>
      <c r="W206" s="79"/>
      <c r="X206" s="79"/>
      <c r="Y206" s="79"/>
    </row>
    <row r="207" spans="4:27" x14ac:dyDescent="0.35">
      <c r="F207" s="19" t="s">
        <v>189</v>
      </c>
      <c r="G207" s="19" t="s">
        <v>272</v>
      </c>
      <c r="H207" s="255"/>
      <c r="I207" s="255"/>
      <c r="J207" s="404">
        <f t="shared" ref="J207:K207" si="128">ABS(J137 + J172)*(1-J81)*PowerFactor*$H22</f>
        <v>1.9391245225810271E-2</v>
      </c>
      <c r="K207" s="404">
        <f t="shared" si="128"/>
        <v>1.9391245225810271E-2</v>
      </c>
      <c r="L207" s="404">
        <f t="shared" ref="L207:M207" si="129">ABS(L137 + L172)*(1-L81)*PowerFactor*$H22</f>
        <v>1.3769888250912772E-2</v>
      </c>
      <c r="M207" s="404">
        <f t="shared" si="129"/>
        <v>1.3769888250912772E-2</v>
      </c>
      <c r="N207" s="404">
        <f t="shared" ref="N207:P207" si="130">ABS(N137 + N172)*(1-N81)*PowerFactor*$H22</f>
        <v>1.2728605563515471E-2</v>
      </c>
      <c r="O207" s="404">
        <f t="shared" si="130"/>
        <v>9.871687275781851E-3</v>
      </c>
      <c r="P207" s="404">
        <f t="shared" si="130"/>
        <v>9.9207292650430826E-3</v>
      </c>
      <c r="Q207" s="404">
        <f t="shared" ref="Q207:S207" si="131">ABS(Q137 + Q172)*(1-Q81)*PowerFactor*$H22</f>
        <v>1.8269654863277928E-2</v>
      </c>
      <c r="R207" s="404">
        <f t="shared" si="131"/>
        <v>9.5179462757248624E-3</v>
      </c>
      <c r="S207" s="404">
        <f t="shared" si="131"/>
        <v>9.1075394179642478E-3</v>
      </c>
      <c r="T207" s="404">
        <f t="shared" ref="T207:U207" si="132">ABS(T137 + T172)*(1-T81)*PowerFactor*$H22</f>
        <v>9.5179462757248624E-3</v>
      </c>
      <c r="U207" s="404">
        <f t="shared" si="132"/>
        <v>9.5179462757248624E-3</v>
      </c>
      <c r="V207" s="404">
        <f t="shared" ref="V207:W207" si="133">ABS(V137 + V172)*(1-V81)*PowerFactor*$H22</f>
        <v>9.1075394179642478E-3</v>
      </c>
      <c r="W207" s="404">
        <f t="shared" si="133"/>
        <v>9.1075394179642478E-3</v>
      </c>
      <c r="X207" s="404">
        <f t="shared" ref="X207:Y207" si="134">ABS(X137 + X172)*(1-X81)*PowerFactor*$H22</f>
        <v>8.9678264451095724E-3</v>
      </c>
      <c r="Y207" s="404">
        <f t="shared" si="134"/>
        <v>8.9678264451095724E-3</v>
      </c>
      <c r="Z207" s="256"/>
      <c r="AA207" s="256"/>
    </row>
    <row r="208" spans="4:27" x14ac:dyDescent="0.35">
      <c r="F208" t="s">
        <v>191</v>
      </c>
      <c r="G208" t="s">
        <v>272</v>
      </c>
      <c r="H208" s="256"/>
      <c r="I208" s="256"/>
      <c r="J208" s="271">
        <f t="shared" ref="J208:K208" si="135">ABS(J138 + J173)*(1-J81)*PowerFactor*$H22</f>
        <v>0</v>
      </c>
      <c r="K208" s="271">
        <f t="shared" si="135"/>
        <v>0</v>
      </c>
      <c r="L208" s="271">
        <f t="shared" ref="L208:M208" si="136">ABS(L138 + L173)*(1-L81)*PowerFactor*$H22</f>
        <v>0</v>
      </c>
      <c r="M208" s="271">
        <f t="shared" si="136"/>
        <v>0</v>
      </c>
      <c r="N208" s="271">
        <f t="shared" ref="N208:P208" si="137">ABS(N138 + N173)*(1-N81)*PowerFactor*$H22</f>
        <v>0</v>
      </c>
      <c r="O208" s="271">
        <f t="shared" si="137"/>
        <v>0</v>
      </c>
      <c r="P208" s="271">
        <f t="shared" si="137"/>
        <v>0</v>
      </c>
      <c r="Q208" s="271">
        <f t="shared" ref="Q208:S208" si="138">ABS(Q138 + Q173)*(1-Q81)*PowerFactor*$H22</f>
        <v>0</v>
      </c>
      <c r="R208" s="271">
        <f t="shared" si="138"/>
        <v>0</v>
      </c>
      <c r="S208" s="271">
        <f t="shared" si="138"/>
        <v>0</v>
      </c>
      <c r="T208" s="271">
        <f t="shared" ref="T208:U208" si="139">ABS(T138 + T173)*(1-T81)*PowerFactor*$H22</f>
        <v>0</v>
      </c>
      <c r="U208" s="271">
        <f t="shared" si="139"/>
        <v>0</v>
      </c>
      <c r="V208" s="271">
        <f t="shared" ref="V208:W208" si="140">ABS(V138 + V173)*(1-V81)*PowerFactor*$H22</f>
        <v>0</v>
      </c>
      <c r="W208" s="271">
        <f t="shared" si="140"/>
        <v>0</v>
      </c>
      <c r="X208" s="271">
        <f t="shared" ref="X208:Y208" si="141">ABS(X138 + X173)*(1-X81)*PowerFactor*$H22</f>
        <v>0</v>
      </c>
      <c r="Y208" s="271">
        <f t="shared" si="141"/>
        <v>0</v>
      </c>
      <c r="Z208" s="256"/>
      <c r="AA208" s="256"/>
    </row>
    <row r="209" spans="3:27" x14ac:dyDescent="0.35">
      <c r="F209" t="s">
        <v>192</v>
      </c>
      <c r="G209" t="s">
        <v>272</v>
      </c>
      <c r="H209" s="256"/>
      <c r="I209" s="256"/>
      <c r="J209" s="271">
        <f t="shared" ref="J209:K209" si="142">ABS(J139 + J174)*(1-J82)*PowerFactor*$H23</f>
        <v>4.0448749679369587E-2</v>
      </c>
      <c r="K209" s="271">
        <f t="shared" si="142"/>
        <v>4.0448749679369587E-2</v>
      </c>
      <c r="L209" s="271">
        <f t="shared" ref="L209:M209" si="143">ABS(L139 + L174)*(1-L82)*PowerFactor*$H23</f>
        <v>2.8723001359021266E-2</v>
      </c>
      <c r="M209" s="271">
        <f t="shared" si="143"/>
        <v>2.8723001359021266E-2</v>
      </c>
      <c r="N209" s="271">
        <f t="shared" ref="N209:P209" si="144">ABS(N139 + N174)*(1-N82)*PowerFactor*$H23</f>
        <v>2.6550960199336802E-2</v>
      </c>
      <c r="O209" s="271">
        <f t="shared" si="144"/>
        <v>2.0591633125223042E-2</v>
      </c>
      <c r="P209" s="271">
        <f t="shared" si="144"/>
        <v>2.0693931204810292E-2</v>
      </c>
      <c r="Q209" s="271">
        <f t="shared" ref="Q209:S209" si="145">ABS(Q139 + Q174)*(1-Q82)*PowerFactor*$H23</f>
        <v>3.8109192457099018E-2</v>
      </c>
      <c r="R209" s="271">
        <f t="shared" si="145"/>
        <v>1.9853754716899367E-2</v>
      </c>
      <c r="S209" s="271">
        <f t="shared" si="145"/>
        <v>1.8997675385069756E-2</v>
      </c>
      <c r="T209" s="271">
        <f t="shared" ref="T209:U209" si="146">ABS(T139 + T174)*(1-T82)*PowerFactor*$H23</f>
        <v>1.9853754716899367E-2</v>
      </c>
      <c r="U209" s="271">
        <f t="shared" si="146"/>
        <v>1.9853754716899367E-2</v>
      </c>
      <c r="V209" s="271">
        <f t="shared" ref="V209:W209" si="147">ABS(V139 + V174)*(1-V82)*PowerFactor*$H23</f>
        <v>1.8997675385069756E-2</v>
      </c>
      <c r="W209" s="271">
        <f t="shared" si="147"/>
        <v>1.8997675385069756E-2</v>
      </c>
      <c r="X209" s="271">
        <f t="shared" ref="X209:Y209" si="148">ABS(X139 + X174)*(1-X82)*PowerFactor*$H23</f>
        <v>1.8706244123170318E-2</v>
      </c>
      <c r="Y209" s="271">
        <f t="shared" si="148"/>
        <v>1.8706244123170318E-2</v>
      </c>
      <c r="Z209" s="256"/>
      <c r="AA209" s="256"/>
    </row>
    <row r="210" spans="3:27" x14ac:dyDescent="0.35">
      <c r="F210" t="s">
        <v>193</v>
      </c>
      <c r="G210" t="s">
        <v>272</v>
      </c>
      <c r="H210" s="256"/>
      <c r="I210" s="256"/>
      <c r="J210" s="271">
        <f t="shared" ref="J210:K210" si="149">ABS(J140 + J175)*(1-J83)*PowerFactor*$H24</f>
        <v>1.0466027598386199E-2</v>
      </c>
      <c r="K210" s="271">
        <f t="shared" si="149"/>
        <v>1.0466027598386199E-2</v>
      </c>
      <c r="L210" s="271">
        <f t="shared" ref="L210:M210" si="150">ABS(L140 + L175)*(1-L83)*PowerFactor*$H24</f>
        <v>7.4320152616565655E-3</v>
      </c>
      <c r="M210" s="271">
        <f t="shared" si="150"/>
        <v>7.4320152616565655E-3</v>
      </c>
      <c r="N210" s="271">
        <f t="shared" ref="N210:P210" si="151">ABS(N140 + N175)*(1-N83)*PowerFactor*$H24</f>
        <v>6.8700042501349196E-3</v>
      </c>
      <c r="O210" s="271">
        <f t="shared" si="151"/>
        <v>5.3280410962702127E-3</v>
      </c>
      <c r="P210" s="271">
        <f t="shared" si="151"/>
        <v>5.3545105058986683E-3</v>
      </c>
      <c r="Q210" s="271">
        <f t="shared" ref="Q210:S210" si="152">ABS(Q140 + Q175)*(1-Q83)*PowerFactor*$H24</f>
        <v>9.8606721634127356E-3</v>
      </c>
      <c r="R210" s="271">
        <f t="shared" si="152"/>
        <v>5.1371166339077168E-3</v>
      </c>
      <c r="S210" s="271">
        <f t="shared" si="152"/>
        <v>4.9156079350144459E-3</v>
      </c>
      <c r="T210" s="271">
        <f t="shared" ref="T210:U210" si="153">ABS(T140 + T175)*(1-T83)*PowerFactor*$H24</f>
        <v>5.1371166339077168E-3</v>
      </c>
      <c r="U210" s="271">
        <f t="shared" si="153"/>
        <v>5.1371166339077168E-3</v>
      </c>
      <c r="V210" s="271">
        <f t="shared" ref="V210:W210" si="154">ABS(V140 + V175)*(1-V83)*PowerFactor*$H24</f>
        <v>4.9156079350144459E-3</v>
      </c>
      <c r="W210" s="271">
        <f t="shared" si="154"/>
        <v>4.9156079350144459E-3</v>
      </c>
      <c r="X210" s="271">
        <f t="shared" ref="X210:Y210" si="155">ABS(X140 + X175)*(1-X83)*PowerFactor*$H24</f>
        <v>4.8402007183699297E-3</v>
      </c>
      <c r="Y210" s="271">
        <f t="shared" si="155"/>
        <v>4.8402007183699297E-3</v>
      </c>
      <c r="Z210" s="256"/>
      <c r="AA210" s="256"/>
    </row>
    <row r="211" spans="3:27" x14ac:dyDescent="0.35">
      <c r="F211" t="s">
        <v>194</v>
      </c>
      <c r="G211" t="s">
        <v>272</v>
      </c>
      <c r="H211" s="256"/>
      <c r="I211" s="256"/>
      <c r="J211" s="271">
        <f t="shared" ref="J211:K211" si="156">ABS(J141 + J176)*(1-J84)*PowerFactor*$H25</f>
        <v>2.8833712259206369E-2</v>
      </c>
      <c r="K211" s="271">
        <f t="shared" si="156"/>
        <v>2.8833712259206369E-2</v>
      </c>
      <c r="L211" s="271">
        <f t="shared" ref="L211:M211" si="157">ABS(L141 + L176)*(1-L84)*PowerFactor*$H25</f>
        <v>2.0475064445050619E-2</v>
      </c>
      <c r="M211" s="271">
        <f t="shared" si="157"/>
        <v>2.0475064445050619E-2</v>
      </c>
      <c r="N211" s="271">
        <f t="shared" ref="N211:P211" si="158">ABS(N141 + N176)*(1-N84)*PowerFactor*$H25</f>
        <v>1.8926734513719328E-2</v>
      </c>
      <c r="O211" s="271">
        <f t="shared" si="158"/>
        <v>1.467865457365794E-2</v>
      </c>
      <c r="P211" s="271">
        <f t="shared" si="158"/>
        <v>1.1801261845690979E-2</v>
      </c>
      <c r="Q211" s="271">
        <f t="shared" ref="Q211:S211" si="159">ABS(Q141 + Q176)*(1-Q84)*PowerFactor*$H25</f>
        <v>2.7165969243770124E-2</v>
      </c>
      <c r="R211" s="271">
        <f t="shared" si="159"/>
        <v>1.4152661214739915E-2</v>
      </c>
      <c r="S211" s="271">
        <f t="shared" si="159"/>
        <v>1.3542408850434616E-2</v>
      </c>
      <c r="T211" s="271">
        <f t="shared" ref="T211:U211" si="160">ABS(T141 + T176)*(1-T84)*PowerFactor*$H25</f>
        <v>1.4152661214739915E-2</v>
      </c>
      <c r="U211" s="271">
        <f t="shared" si="160"/>
        <v>1.4152661214739915E-2</v>
      </c>
      <c r="V211" s="271">
        <f t="shared" ref="V211:W211" si="161">ABS(V141 + V176)*(1-V84)*PowerFactor*$H25</f>
        <v>1.3542408850434616E-2</v>
      </c>
      <c r="W211" s="271">
        <f t="shared" si="161"/>
        <v>1.3542408850434616E-2</v>
      </c>
      <c r="X211" s="271">
        <f t="shared" ref="X211:Y211" si="162">ABS(X141 + X176)*(1-X84)*PowerFactor*$H25</f>
        <v>1.3334663364713662E-2</v>
      </c>
      <c r="Y211" s="271">
        <f t="shared" si="162"/>
        <v>1.3334663364713662E-2</v>
      </c>
      <c r="Z211" s="256"/>
      <c r="AA211" s="256"/>
    </row>
    <row r="212" spans="3:27" x14ac:dyDescent="0.35">
      <c r="F212" t="s">
        <v>195</v>
      </c>
      <c r="G212" t="s">
        <v>272</v>
      </c>
      <c r="H212" s="256"/>
      <c r="I212" s="256"/>
      <c r="J212" s="271">
        <f t="shared" ref="J212:K212" si="163">ABS(J142 + J177)*(1-J85)*PowerFactor*$H26</f>
        <v>2.0399625265609077E-2</v>
      </c>
      <c r="K212" s="271">
        <f t="shared" si="163"/>
        <v>2.0399625265609077E-2</v>
      </c>
      <c r="L212" s="271">
        <f t="shared" ref="L212:M212" si="164">ABS(L142 + L177)*(1-L85)*PowerFactor*$H26</f>
        <v>1.4485947498309578E-2</v>
      </c>
      <c r="M212" s="271">
        <f t="shared" si="164"/>
        <v>1.4485947498309578E-2</v>
      </c>
      <c r="N212" s="271">
        <f t="shared" ref="N212:P212" si="165">ABS(N142 + N177)*(1-N85)*PowerFactor*$H26</f>
        <v>1.3390516216248434E-2</v>
      </c>
      <c r="O212" s="271">
        <f t="shared" si="165"/>
        <v>1.0385032978552124E-2</v>
      </c>
      <c r="P212" s="271">
        <f t="shared" si="165"/>
        <v>0</v>
      </c>
      <c r="Q212" s="271">
        <f t="shared" ref="Q212:S212" si="166">ABS(Q142 + Q177)*(1-Q85)*PowerFactor*$H26</f>
        <v>1.9219710163162509E-2</v>
      </c>
      <c r="R212" s="271">
        <f t="shared" si="166"/>
        <v>1.0012896802756696E-2</v>
      </c>
      <c r="S212" s="271">
        <f t="shared" si="166"/>
        <v>9.5811480415369105E-3</v>
      </c>
      <c r="T212" s="271">
        <f t="shared" ref="T212:U212" si="167">ABS(T142 + T177)*(1-T85)*PowerFactor*$H26</f>
        <v>1.0012896802756696E-2</v>
      </c>
      <c r="U212" s="271">
        <f t="shared" si="167"/>
        <v>1.0012896802756696E-2</v>
      </c>
      <c r="V212" s="271">
        <f t="shared" ref="V212:W212" si="168">ABS(V142 + V177)*(1-V85)*PowerFactor*$H26</f>
        <v>9.5811480415369105E-3</v>
      </c>
      <c r="W212" s="271">
        <f t="shared" si="168"/>
        <v>9.5811480415369105E-3</v>
      </c>
      <c r="X212" s="271">
        <f t="shared" ref="X212:Y212" si="169">ABS(X142 + X177)*(1-X85)*PowerFactor*$H26</f>
        <v>9.4341697398450698E-3</v>
      </c>
      <c r="Y212" s="271">
        <f t="shared" si="169"/>
        <v>9.4341697398450698E-3</v>
      </c>
      <c r="Z212" s="256"/>
      <c r="AA212" s="256"/>
    </row>
    <row r="213" spans="3:27" x14ac:dyDescent="0.35">
      <c r="F213" t="s">
        <v>196</v>
      </c>
      <c r="G213" t="s">
        <v>272</v>
      </c>
      <c r="H213" s="256"/>
      <c r="I213" s="256"/>
      <c r="J213" s="271">
        <f t="shared" ref="J213:K213" si="170">ABS(J143 + J178)*(1-J86)*PowerFactor*$H27</f>
        <v>0</v>
      </c>
      <c r="K213" s="271">
        <f t="shared" si="170"/>
        <v>0</v>
      </c>
      <c r="L213" s="271">
        <f t="shared" ref="L213:M213" si="171">ABS(L143 + L178)*(1-L86)*PowerFactor*$H27</f>
        <v>0</v>
      </c>
      <c r="M213" s="271">
        <f t="shared" si="171"/>
        <v>0</v>
      </c>
      <c r="N213" s="271">
        <f t="shared" ref="N213:P213" si="172">ABS(N143 + N178)*(1-N86)*PowerFactor*$H27</f>
        <v>0</v>
      </c>
      <c r="O213" s="271">
        <f t="shared" si="172"/>
        <v>0</v>
      </c>
      <c r="P213" s="271">
        <f t="shared" si="172"/>
        <v>0</v>
      </c>
      <c r="Q213" s="271">
        <f t="shared" ref="Q213:S213" si="173">ABS(Q143 + Q178)*(1-Q86)*PowerFactor*$H27</f>
        <v>0</v>
      </c>
      <c r="R213" s="271">
        <f t="shared" si="173"/>
        <v>0</v>
      </c>
      <c r="S213" s="271">
        <f t="shared" si="173"/>
        <v>0</v>
      </c>
      <c r="T213" s="271">
        <f t="shared" ref="T213:U213" si="174">ABS(T143 + T178)*(1-T86)*PowerFactor*$H27</f>
        <v>0</v>
      </c>
      <c r="U213" s="271">
        <f t="shared" si="174"/>
        <v>0</v>
      </c>
      <c r="V213" s="271">
        <f t="shared" ref="V213:W213" si="175">ABS(V143 + V178)*(1-V86)*PowerFactor*$H27</f>
        <v>0</v>
      </c>
      <c r="W213" s="271">
        <f t="shared" si="175"/>
        <v>0</v>
      </c>
      <c r="X213" s="271">
        <f t="shared" ref="X213:Y213" si="176">ABS(X143 + X178)*(1-X86)*PowerFactor*$H27</f>
        <v>0</v>
      </c>
      <c r="Y213" s="271">
        <f t="shared" si="176"/>
        <v>0</v>
      </c>
      <c r="Z213" s="256"/>
      <c r="AA213" s="256"/>
    </row>
    <row r="214" spans="3:27" x14ac:dyDescent="0.35">
      <c r="F214" t="s">
        <v>197</v>
      </c>
      <c r="G214" t="s">
        <v>272</v>
      </c>
      <c r="H214" s="256"/>
      <c r="I214" s="256"/>
      <c r="J214" s="271">
        <f t="shared" ref="J214:K214" si="177">ABS(J144 + J179)*(1-J87)*PowerFactor*$H28</f>
        <v>6.6020244883925258E-2</v>
      </c>
      <c r="K214" s="271">
        <f t="shared" si="177"/>
        <v>6.6020244883925258E-2</v>
      </c>
      <c r="L214" s="271">
        <f t="shared" ref="L214:M214" si="178">ABS(L144 + L179)*(1-L87)*PowerFactor*$H28</f>
        <v>4.6881537712674649E-2</v>
      </c>
      <c r="M214" s="271">
        <f t="shared" si="178"/>
        <v>4.6881537712674649E-2</v>
      </c>
      <c r="N214" s="271">
        <f t="shared" ref="N214:P214" si="179">ABS(N144 + N179)*(1-N87)*PowerFactor*$H28</f>
        <v>3.4669074483805185E-2</v>
      </c>
      <c r="O214" s="271">
        <f t="shared" si="179"/>
        <v>0</v>
      </c>
      <c r="P214" s="271">
        <f t="shared" si="179"/>
        <v>0</v>
      </c>
      <c r="Q214" s="271">
        <f t="shared" ref="Q214:S214" si="180">ABS(Q144 + Q179)*(1-Q87)*PowerFactor*$H28</f>
        <v>6.2201631404927203E-2</v>
      </c>
      <c r="R214" s="271">
        <f t="shared" si="180"/>
        <v>3.2405198149885329E-2</v>
      </c>
      <c r="S214" s="271">
        <f t="shared" si="180"/>
        <v>3.100790978929395E-2</v>
      </c>
      <c r="T214" s="271">
        <f t="shared" ref="T214:U214" si="181">ABS(T144 + T179)*(1-T87)*PowerFactor*$H28</f>
        <v>3.2405198149885329E-2</v>
      </c>
      <c r="U214" s="271">
        <f t="shared" si="181"/>
        <v>3.2405198149885329E-2</v>
      </c>
      <c r="V214" s="271">
        <f t="shared" ref="V214:W214" si="182">ABS(V144 + V179)*(1-V87)*PowerFactor*$H28</f>
        <v>3.100790978929395E-2</v>
      </c>
      <c r="W214" s="271">
        <f t="shared" si="182"/>
        <v>3.100790978929395E-2</v>
      </c>
      <c r="X214" s="271">
        <f t="shared" ref="X214:Y214" si="183">ABS(X144 + X179)*(1-X87)*PowerFactor*$H28</f>
        <v>3.0532237155901136E-2</v>
      </c>
      <c r="Y214" s="271">
        <f t="shared" si="183"/>
        <v>3.0532237155901136E-2</v>
      </c>
      <c r="Z214" s="256"/>
      <c r="AA214" s="256"/>
    </row>
    <row r="215" spans="3:27" x14ac:dyDescent="0.35">
      <c r="F215" t="s">
        <v>198</v>
      </c>
      <c r="G215" t="s">
        <v>272</v>
      </c>
      <c r="H215" s="256"/>
      <c r="I215" s="256"/>
      <c r="J215" s="271">
        <f t="shared" ref="J215:K215" si="184">ABS(J145 + J180)*(1-J88)*PowerFactor*$H29</f>
        <v>2.5353316171445043E-2</v>
      </c>
      <c r="K215" s="271">
        <f t="shared" si="184"/>
        <v>2.5353316171445043E-2</v>
      </c>
      <c r="L215" s="271">
        <f t="shared" ref="L215:M215" si="185">ABS(L145 + L180)*(1-L88)*PowerFactor*$H29</f>
        <v>1.8003605565576564E-2</v>
      </c>
      <c r="M215" s="271">
        <f t="shared" si="185"/>
        <v>1.8003605565576564E-2</v>
      </c>
      <c r="N215" s="271">
        <f t="shared" ref="N215:P215" si="186">ABS(N145 + N180)*(1-N88)*PowerFactor*$H29</f>
        <v>0</v>
      </c>
      <c r="O215" s="271">
        <f t="shared" si="186"/>
        <v>0</v>
      </c>
      <c r="P215" s="271">
        <f t="shared" si="186"/>
        <v>0</v>
      </c>
      <c r="Q215" s="271">
        <f t="shared" ref="Q215:S215" si="187">ABS(Q145 + Q180)*(1-Q88)*PowerFactor*$H29</f>
        <v>2.3886879398303775E-2</v>
      </c>
      <c r="R215" s="271">
        <f t="shared" si="187"/>
        <v>1.2444353027421267E-2</v>
      </c>
      <c r="S215" s="271">
        <f t="shared" si="187"/>
        <v>1.1907761658348972E-2</v>
      </c>
      <c r="T215" s="271">
        <f t="shared" ref="T215:U215" si="188">ABS(T145 + T180)*(1-T88)*PowerFactor*$H29</f>
        <v>1.2444353027421267E-2</v>
      </c>
      <c r="U215" s="271">
        <f t="shared" si="188"/>
        <v>1.2444353027421267E-2</v>
      </c>
      <c r="V215" s="271">
        <f t="shared" ref="V215:W215" si="189">ABS(V145 + V180)*(1-V88)*PowerFactor*$H29</f>
        <v>1.1907761658348972E-2</v>
      </c>
      <c r="W215" s="271">
        <f t="shared" si="189"/>
        <v>1.1907761658348972E-2</v>
      </c>
      <c r="X215" s="271">
        <f t="shared" ref="X215:Y215" si="190">ABS(X145 + X180)*(1-X88)*PowerFactor*$H29</f>
        <v>0</v>
      </c>
      <c r="Y215" s="271">
        <f t="shared" si="190"/>
        <v>0</v>
      </c>
      <c r="Z215" s="256"/>
      <c r="AA215" s="256"/>
    </row>
    <row r="216" spans="3:27" x14ac:dyDescent="0.35">
      <c r="F216" t="s">
        <v>199</v>
      </c>
      <c r="G216" t="s">
        <v>272</v>
      </c>
      <c r="H216" s="256"/>
      <c r="I216" s="256"/>
      <c r="J216" s="271">
        <f t="shared" ref="J216:K216" si="191">ABS(J146 + J181)*(1-J89)*PowerFactor*$H30</f>
        <v>0</v>
      </c>
      <c r="K216" s="271">
        <f t="shared" si="191"/>
        <v>0</v>
      </c>
      <c r="L216" s="271">
        <f t="shared" ref="L216:M216" si="192">ABS(L146 + L181)*(1-L89)*PowerFactor*$H30</f>
        <v>0</v>
      </c>
      <c r="M216" s="271">
        <f t="shared" si="192"/>
        <v>0</v>
      </c>
      <c r="N216" s="271">
        <f t="shared" ref="N216:P216" si="193">ABS(N146 + N181)*(1-N89)*PowerFactor*$H30</f>
        <v>0</v>
      </c>
      <c r="O216" s="271">
        <f t="shared" si="193"/>
        <v>0</v>
      </c>
      <c r="P216" s="271">
        <f t="shared" si="193"/>
        <v>0</v>
      </c>
      <c r="Q216" s="271">
        <f t="shared" ref="Q216:S216" si="194">ABS(Q146 + Q181)*(1-Q89)*PowerFactor*$H30</f>
        <v>6.1723088497726453E-2</v>
      </c>
      <c r="R216" s="271">
        <f t="shared" si="194"/>
        <v>3.2155891541990889E-2</v>
      </c>
      <c r="S216" s="271">
        <f t="shared" si="194"/>
        <v>0</v>
      </c>
      <c r="T216" s="271">
        <f t="shared" ref="T216:U216" si="195">ABS(T146 + T181)*(1-T89)*PowerFactor*$H30</f>
        <v>3.2155891541990889E-2</v>
      </c>
      <c r="U216" s="271">
        <f t="shared" si="195"/>
        <v>3.2155891541990889E-2</v>
      </c>
      <c r="V216" s="271">
        <f t="shared" ref="V216:W216" si="196">ABS(V146 + V181)*(1-V89)*PowerFactor*$H30</f>
        <v>0</v>
      </c>
      <c r="W216" s="271">
        <f t="shared" si="196"/>
        <v>0</v>
      </c>
      <c r="X216" s="271">
        <f t="shared" ref="X216:Y216" si="197">ABS(X146 + X181)*(1-X89)*PowerFactor*$H30</f>
        <v>0</v>
      </c>
      <c r="Y216" s="271">
        <f t="shared" si="197"/>
        <v>0</v>
      </c>
      <c r="Z216" s="256"/>
      <c r="AA216" s="256"/>
    </row>
    <row r="217" spans="3:27" x14ac:dyDescent="0.35">
      <c r="F217" t="s">
        <v>375</v>
      </c>
      <c r="G217" t="s">
        <v>272</v>
      </c>
      <c r="H217" s="256"/>
      <c r="I217" s="256"/>
      <c r="J217" s="257"/>
      <c r="K217" s="257"/>
      <c r="L217" s="257"/>
      <c r="M217" s="257"/>
      <c r="N217" s="257"/>
      <c r="O217" s="257"/>
      <c r="P217" s="257"/>
      <c r="Q217" s="257"/>
      <c r="R217" s="257"/>
      <c r="S217" s="257"/>
      <c r="T217" s="257"/>
      <c r="U217" s="257"/>
      <c r="V217" s="257"/>
      <c r="W217" s="257"/>
      <c r="X217" s="257"/>
      <c r="Y217" s="257"/>
      <c r="Z217" s="256"/>
      <c r="AA217" s="256"/>
    </row>
    <row r="218" spans="3:27" x14ac:dyDescent="0.35">
      <c r="F218" s="28" t="s">
        <v>376</v>
      </c>
      <c r="G218" s="28" t="s">
        <v>272</v>
      </c>
      <c r="H218" s="258"/>
      <c r="I218" s="258"/>
      <c r="J218" s="259"/>
      <c r="K218" s="259"/>
      <c r="L218" s="259"/>
      <c r="M218" s="259"/>
      <c r="N218" s="259"/>
      <c r="O218" s="259"/>
      <c r="P218" s="259"/>
      <c r="Q218" s="259"/>
      <c r="R218" s="259"/>
      <c r="S218" s="259"/>
      <c r="T218" s="259"/>
      <c r="U218" s="259"/>
      <c r="V218" s="259"/>
      <c r="W218" s="259"/>
      <c r="X218" s="259"/>
      <c r="Y218" s="259"/>
      <c r="Z218" s="256"/>
      <c r="AA218" s="256"/>
    </row>
    <row r="219" spans="3:27" x14ac:dyDescent="0.35">
      <c r="J219" s="79"/>
      <c r="K219" s="79"/>
      <c r="L219" s="79"/>
      <c r="M219" s="79"/>
      <c r="N219" s="79"/>
      <c r="O219" s="79"/>
      <c r="P219" s="79"/>
      <c r="Q219" s="79"/>
      <c r="R219" s="79"/>
      <c r="S219" s="79"/>
      <c r="T219" s="79"/>
      <c r="U219" s="79"/>
      <c r="V219" s="79"/>
      <c r="W219" s="79"/>
      <c r="X219" s="79"/>
      <c r="Y219" s="79"/>
    </row>
    <row r="220" spans="3:27" x14ac:dyDescent="0.35">
      <c r="C220" s="26" t="str">
        <f ca="1">INDEX('Version control'!$H$38:$H$61,MATCH($A$1,'Version control'!$F$38:$F$61,0),1)&amp;"-E: Reactive power charges for applicable customers"</f>
        <v>Section 113-E: Reactive power charges for applicable customers</v>
      </c>
      <c r="D220" s="26"/>
      <c r="E220" s="26"/>
      <c r="F220" s="26"/>
      <c r="G220" s="26"/>
      <c r="H220" s="26"/>
      <c r="I220" s="26"/>
      <c r="J220" s="80"/>
      <c r="K220" s="80"/>
      <c r="L220" s="80"/>
      <c r="M220" s="80"/>
      <c r="N220" s="80"/>
      <c r="O220" s="80"/>
      <c r="P220" s="80"/>
      <c r="Q220" s="80"/>
      <c r="R220" s="80"/>
      <c r="S220" s="80"/>
      <c r="T220" s="80"/>
      <c r="U220" s="80"/>
      <c r="V220" s="80"/>
      <c r="W220" s="80"/>
      <c r="X220" s="80"/>
      <c r="Y220" s="80"/>
      <c r="Z220" s="26"/>
      <c r="AA220" s="26"/>
    </row>
    <row r="221" spans="3:27" x14ac:dyDescent="0.35">
      <c r="D221" s="27"/>
      <c r="E221" s="27"/>
      <c r="J221" s="79"/>
      <c r="K221" s="79"/>
      <c r="L221" s="79"/>
      <c r="M221" s="79"/>
      <c r="N221" s="79"/>
      <c r="O221" s="79"/>
      <c r="P221" s="79"/>
      <c r="Q221" s="79"/>
      <c r="R221" s="79"/>
      <c r="S221" s="79"/>
      <c r="T221" s="79"/>
      <c r="U221" s="79"/>
      <c r="V221" s="79"/>
      <c r="W221" s="79"/>
      <c r="X221" s="79"/>
      <c r="Y221" s="79"/>
    </row>
    <row r="222" spans="3:27" x14ac:dyDescent="0.35">
      <c r="D222"/>
      <c r="E222" s="27" t="s">
        <v>620</v>
      </c>
      <c r="J222" s="79"/>
      <c r="K222" s="79"/>
      <c r="L222" s="79"/>
      <c r="M222" s="79"/>
      <c r="N222" s="79"/>
      <c r="O222" s="79"/>
      <c r="P222" s="79"/>
      <c r="Q222" s="79"/>
      <c r="R222" s="79"/>
      <c r="S222" s="79"/>
      <c r="T222" s="79"/>
      <c r="U222" s="79"/>
      <c r="V222" s="79"/>
      <c r="W222" s="79"/>
      <c r="X222" s="79"/>
      <c r="Y222" s="79"/>
    </row>
    <row r="223" spans="3:27" x14ac:dyDescent="0.35">
      <c r="D223"/>
      <c r="F223" s="19" t="s">
        <v>189</v>
      </c>
      <c r="G223" s="19" t="s">
        <v>272</v>
      </c>
      <c r="H223" s="255"/>
      <c r="I223" s="255"/>
      <c r="J223" s="269"/>
      <c r="K223" s="269"/>
      <c r="L223" s="269"/>
      <c r="M223" s="269"/>
      <c r="N223" s="269"/>
      <c r="O223" s="269"/>
      <c r="P223" s="269"/>
      <c r="Q223" s="269"/>
      <c r="R223" s="269"/>
      <c r="S223" s="269"/>
      <c r="T223" s="269"/>
      <c r="U223" s="269"/>
      <c r="V223" s="269"/>
      <c r="W223" s="269"/>
      <c r="X223" s="269"/>
      <c r="Y223" s="269"/>
      <c r="Z223" s="256"/>
      <c r="AA223" s="256"/>
    </row>
    <row r="224" spans="3:27" x14ac:dyDescent="0.35">
      <c r="D224"/>
      <c r="F224" t="s">
        <v>191</v>
      </c>
      <c r="G224" t="s">
        <v>272</v>
      </c>
      <c r="H224" s="256"/>
      <c r="I224" s="256"/>
      <c r="J224" s="257"/>
      <c r="K224" s="257"/>
      <c r="L224" s="257"/>
      <c r="M224" s="257"/>
      <c r="N224" s="257"/>
      <c r="O224" s="257"/>
      <c r="P224" s="257"/>
      <c r="Q224" s="257"/>
      <c r="R224" s="257"/>
      <c r="S224" s="257"/>
      <c r="T224" s="257"/>
      <c r="U224" s="257"/>
      <c r="V224" s="257"/>
      <c r="W224" s="257"/>
      <c r="X224" s="257"/>
      <c r="Y224" s="257"/>
      <c r="Z224" s="256"/>
      <c r="AA224" s="256"/>
    </row>
    <row r="225" spans="5:27" customFormat="1" x14ac:dyDescent="0.35">
      <c r="E225" s="2"/>
      <c r="F225" t="s">
        <v>192</v>
      </c>
      <c r="G225" t="s">
        <v>272</v>
      </c>
      <c r="H225" s="256"/>
      <c r="I225" s="256"/>
      <c r="J225" s="271">
        <f t="shared" ref="J225:K225" si="198">J$78 * J195</f>
        <v>0</v>
      </c>
      <c r="K225" s="271">
        <f t="shared" si="198"/>
        <v>0</v>
      </c>
      <c r="L225" s="271">
        <f t="shared" ref="L225:M225" si="199">L$78 * L195</f>
        <v>0</v>
      </c>
      <c r="M225" s="271">
        <f t="shared" si="199"/>
        <v>0</v>
      </c>
      <c r="N225" s="271">
        <f t="shared" ref="N225:P225" si="200">N$78 * N195</f>
        <v>3.9856462202616107E-2</v>
      </c>
      <c r="O225" s="271">
        <f t="shared" si="200"/>
        <v>3.0910733215821308E-2</v>
      </c>
      <c r="P225" s="271">
        <f t="shared" si="200"/>
        <v>3.1064296006464612E-2</v>
      </c>
      <c r="Q225" s="271">
        <f t="shared" ref="Q225:S225" si="201">Q$78 * Q195</f>
        <v>0</v>
      </c>
      <c r="R225" s="271">
        <f t="shared" si="201"/>
        <v>0</v>
      </c>
      <c r="S225" s="271">
        <f t="shared" si="201"/>
        <v>0</v>
      </c>
      <c r="T225" s="271">
        <f t="shared" ref="T225:U225" si="202">T$78 * T195</f>
        <v>2.9803081263851085E-2</v>
      </c>
      <c r="U225" s="271">
        <f t="shared" si="202"/>
        <v>0</v>
      </c>
      <c r="V225" s="271">
        <f t="shared" ref="V225:W225" si="203">V$78 * V195</f>
        <v>2.8517994273574938E-2</v>
      </c>
      <c r="W225" s="271">
        <f t="shared" si="203"/>
        <v>0</v>
      </c>
      <c r="X225" s="271">
        <f t="shared" ref="X225:Y225" si="204">X$78 * X195</f>
        <v>2.8080517851353261E-2</v>
      </c>
      <c r="Y225" s="271">
        <f t="shared" si="204"/>
        <v>0</v>
      </c>
      <c r="Z225" s="256"/>
      <c r="AA225" s="256"/>
    </row>
    <row r="226" spans="5:27" customFormat="1" x14ac:dyDescent="0.35">
      <c r="E226" s="2"/>
      <c r="F226" t="s">
        <v>193</v>
      </c>
      <c r="G226" t="s">
        <v>272</v>
      </c>
      <c r="H226" s="256"/>
      <c r="I226" s="256"/>
      <c r="J226" s="271">
        <f t="shared" ref="J226:K226" si="205">J$78 * J196</f>
        <v>0</v>
      </c>
      <c r="K226" s="271">
        <f t="shared" si="205"/>
        <v>0</v>
      </c>
      <c r="L226" s="271">
        <f t="shared" ref="L226:M226" si="206">L$78 * L196</f>
        <v>0</v>
      </c>
      <c r="M226" s="271">
        <f t="shared" si="206"/>
        <v>0</v>
      </c>
      <c r="N226" s="271">
        <f t="shared" ref="N226:P226" si="207">N$78 * N196</f>
        <v>1.0312774478647809E-2</v>
      </c>
      <c r="O226" s="271">
        <f t="shared" si="207"/>
        <v>7.9980862075482804E-3</v>
      </c>
      <c r="P226" s="271">
        <f t="shared" si="207"/>
        <v>8.0378202516830938E-3</v>
      </c>
      <c r="Q226" s="271">
        <f t="shared" ref="Q226:S226" si="208">Q$78 * Q196</f>
        <v>0</v>
      </c>
      <c r="R226" s="271">
        <f t="shared" si="208"/>
        <v>0</v>
      </c>
      <c r="S226" s="271">
        <f t="shared" si="208"/>
        <v>0</v>
      </c>
      <c r="T226" s="271">
        <f t="shared" ref="T226:U226" si="209">T$78 * T196</f>
        <v>7.7114836304446564E-3</v>
      </c>
      <c r="U226" s="271">
        <f t="shared" si="209"/>
        <v>0</v>
      </c>
      <c r="V226" s="271">
        <f t="shared" ref="V226:W226" si="210">V$78 * V196</f>
        <v>7.3789701161043816E-3</v>
      </c>
      <c r="W226" s="271">
        <f t="shared" si="210"/>
        <v>0</v>
      </c>
      <c r="X226" s="271">
        <f t="shared" ref="X226:Y226" si="211">X$78 * X196</f>
        <v>7.265774026116203E-3</v>
      </c>
      <c r="Y226" s="271">
        <f t="shared" si="211"/>
        <v>0</v>
      </c>
      <c r="Z226" s="256"/>
      <c r="AA226" s="256"/>
    </row>
    <row r="227" spans="5:27" customFormat="1" x14ac:dyDescent="0.35">
      <c r="E227" s="2"/>
      <c r="F227" t="s">
        <v>194</v>
      </c>
      <c r="G227" t="s">
        <v>272</v>
      </c>
      <c r="H227" s="256"/>
      <c r="I227" s="256"/>
      <c r="J227" s="271">
        <f t="shared" ref="J227:K227" si="212">J$78 * J197</f>
        <v>0</v>
      </c>
      <c r="K227" s="271">
        <f t="shared" si="212"/>
        <v>0</v>
      </c>
      <c r="L227" s="271">
        <f t="shared" ref="L227:M227" si="213">L$78 * L197</f>
        <v>0</v>
      </c>
      <c r="M227" s="271">
        <f t="shared" si="213"/>
        <v>0</v>
      </c>
      <c r="N227" s="271">
        <f t="shared" ref="N227:P227" si="214">N$78 * N197</f>
        <v>2.8060040723112887E-2</v>
      </c>
      <c r="O227" s="271">
        <f t="shared" si="214"/>
        <v>2.1762002568313565E-2</v>
      </c>
      <c r="P227" s="271">
        <f t="shared" si="214"/>
        <v>1.7103516460712825E-2</v>
      </c>
      <c r="Q227" s="271">
        <f t="shared" ref="Q227:S227" si="215">Q$78 * Q197</f>
        <v>0</v>
      </c>
      <c r="R227" s="271">
        <f t="shared" si="215"/>
        <v>0</v>
      </c>
      <c r="S227" s="271">
        <f t="shared" si="215"/>
        <v>0</v>
      </c>
      <c r="T227" s="271">
        <f t="shared" ref="T227:U227" si="216">T$78 * T197</f>
        <v>2.0982185264878148E-2</v>
      </c>
      <c r="U227" s="271">
        <f t="shared" si="216"/>
        <v>0</v>
      </c>
      <c r="V227" s="271">
        <f t="shared" ref="V227:W227" si="217">V$78 * V197</f>
        <v>2.0077448836025594E-2</v>
      </c>
      <c r="W227" s="271">
        <f t="shared" si="217"/>
        <v>0</v>
      </c>
      <c r="X227" s="271">
        <f t="shared" ref="X227:Y227" si="218">X$78 * X197</f>
        <v>1.9325868482421647E-2</v>
      </c>
      <c r="Y227" s="271">
        <f t="shared" si="218"/>
        <v>0</v>
      </c>
      <c r="Z227" s="256"/>
      <c r="AA227" s="256"/>
    </row>
    <row r="228" spans="5:27" customFormat="1" x14ac:dyDescent="0.35">
      <c r="E228" s="2"/>
      <c r="F228" t="s">
        <v>195</v>
      </c>
      <c r="G228" t="s">
        <v>272</v>
      </c>
      <c r="H228" s="256"/>
      <c r="I228" s="256"/>
      <c r="J228" s="271">
        <f t="shared" ref="J228:K228" si="219">J$78 * J198</f>
        <v>0</v>
      </c>
      <c r="K228" s="271">
        <f t="shared" si="219"/>
        <v>0</v>
      </c>
      <c r="L228" s="271">
        <f t="shared" ref="L228:M228" si="220">L$78 * L198</f>
        <v>0</v>
      </c>
      <c r="M228" s="271">
        <f t="shared" si="220"/>
        <v>0</v>
      </c>
      <c r="N228" s="271">
        <f t="shared" ref="N228:P228" si="221">N$78 * N198</f>
        <v>1.9610434403010583E-2</v>
      </c>
      <c r="O228" s="271">
        <f t="shared" si="221"/>
        <v>1.520889894833757E-2</v>
      </c>
      <c r="P228" s="271">
        <f t="shared" si="221"/>
        <v>0</v>
      </c>
      <c r="Q228" s="271">
        <f t="shared" ref="Q228:S228" si="222">Q$78 * Q198</f>
        <v>0</v>
      </c>
      <c r="R228" s="271">
        <f t="shared" si="222"/>
        <v>0</v>
      </c>
      <c r="S228" s="271">
        <f t="shared" si="222"/>
        <v>0</v>
      </c>
      <c r="T228" s="271">
        <f t="shared" ref="T228:U228" si="223">T$78 * T198</f>
        <v>1.4663904868455268E-2</v>
      </c>
      <c r="U228" s="271">
        <f t="shared" si="223"/>
        <v>0</v>
      </c>
      <c r="V228" s="271">
        <f t="shared" ref="V228:W228" si="224">V$78 * V198</f>
        <v>1.4031608053026461E-2</v>
      </c>
      <c r="W228" s="271">
        <f t="shared" si="224"/>
        <v>0</v>
      </c>
      <c r="X228" s="271">
        <f t="shared" ref="X228:Y228" si="225">X$78 * X198</f>
        <v>1.3221839341938208E-2</v>
      </c>
      <c r="Y228" s="271">
        <f t="shared" si="225"/>
        <v>0</v>
      </c>
      <c r="Z228" s="256"/>
      <c r="AA228" s="256"/>
    </row>
    <row r="229" spans="5:27" customFormat="1" x14ac:dyDescent="0.35">
      <c r="E229" s="2"/>
      <c r="F229" t="s">
        <v>196</v>
      </c>
      <c r="G229" t="s">
        <v>272</v>
      </c>
      <c r="H229" s="256"/>
      <c r="I229" s="256"/>
      <c r="J229" s="271">
        <f t="shared" ref="J229:K229" si="226">J$78 * J199</f>
        <v>0</v>
      </c>
      <c r="K229" s="271">
        <f t="shared" si="226"/>
        <v>0</v>
      </c>
      <c r="L229" s="271">
        <f t="shared" ref="L229:M229" si="227">L$78 * L199</f>
        <v>0</v>
      </c>
      <c r="M229" s="271">
        <f t="shared" si="227"/>
        <v>0</v>
      </c>
      <c r="N229" s="271">
        <f t="shared" ref="N229:P229" si="228">N$78 * N199</f>
        <v>0</v>
      </c>
      <c r="O229" s="271">
        <f t="shared" si="228"/>
        <v>0</v>
      </c>
      <c r="P229" s="271">
        <f t="shared" si="228"/>
        <v>0</v>
      </c>
      <c r="Q229" s="271">
        <f t="shared" ref="Q229:S229" si="229">Q$78 * Q199</f>
        <v>0</v>
      </c>
      <c r="R229" s="271">
        <f t="shared" si="229"/>
        <v>0</v>
      </c>
      <c r="S229" s="271">
        <f t="shared" si="229"/>
        <v>0</v>
      </c>
      <c r="T229" s="271">
        <f t="shared" ref="T229:U229" si="230">T$78 * T199</f>
        <v>0</v>
      </c>
      <c r="U229" s="271">
        <f t="shared" si="230"/>
        <v>0</v>
      </c>
      <c r="V229" s="271">
        <f t="shared" ref="V229:W229" si="231">V$78 * V199</f>
        <v>0</v>
      </c>
      <c r="W229" s="271">
        <f t="shared" si="231"/>
        <v>0</v>
      </c>
      <c r="X229" s="271">
        <f t="shared" ref="X229:Y229" si="232">X$78 * X199</f>
        <v>0</v>
      </c>
      <c r="Y229" s="271">
        <f t="shared" si="232"/>
        <v>0</v>
      </c>
      <c r="Z229" s="256"/>
      <c r="AA229" s="256"/>
    </row>
    <row r="230" spans="5:27" customFormat="1" x14ac:dyDescent="0.35">
      <c r="E230" s="2"/>
      <c r="F230" t="s">
        <v>197</v>
      </c>
      <c r="G230" t="s">
        <v>272</v>
      </c>
      <c r="H230" s="256"/>
      <c r="I230" s="256"/>
      <c r="J230" s="271">
        <f t="shared" ref="J230:K230" si="233">J$78 * J200</f>
        <v>0</v>
      </c>
      <c r="K230" s="271">
        <f t="shared" si="233"/>
        <v>0</v>
      </c>
      <c r="L230" s="271">
        <f t="shared" ref="L230:M230" si="234">L$78 * L200</f>
        <v>0</v>
      </c>
      <c r="M230" s="271">
        <f t="shared" si="234"/>
        <v>0</v>
      </c>
      <c r="N230" s="271">
        <f t="shared" ref="N230:P230" si="235">N$78 * N200</f>
        <v>3.4150529399032778E-2</v>
      </c>
      <c r="O230" s="271">
        <f t="shared" si="235"/>
        <v>0</v>
      </c>
      <c r="P230" s="271">
        <f t="shared" si="235"/>
        <v>0</v>
      </c>
      <c r="Q230" s="271">
        <f t="shared" ref="Q230:S230" si="236">Q$78 * Q200</f>
        <v>0</v>
      </c>
      <c r="R230" s="271">
        <f t="shared" si="236"/>
        <v>0</v>
      </c>
      <c r="S230" s="271">
        <f t="shared" si="236"/>
        <v>0</v>
      </c>
      <c r="T230" s="271">
        <f t="shared" ref="T230:U230" si="237">T$78 * T200</f>
        <v>3.1920513846312476E-2</v>
      </c>
      <c r="U230" s="271">
        <f t="shared" si="237"/>
        <v>0</v>
      </c>
      <c r="V230" s="271">
        <f t="shared" ref="V230:W230" si="238">V$78 * V200</f>
        <v>3.0544124717159546E-2</v>
      </c>
      <c r="W230" s="271">
        <f t="shared" si="238"/>
        <v>0</v>
      </c>
      <c r="X230" s="271">
        <f t="shared" ref="X230:Y230" si="239">X$78 * X200</f>
        <v>2.8268222328881352E-2</v>
      </c>
      <c r="Y230" s="271">
        <f t="shared" si="239"/>
        <v>0</v>
      </c>
      <c r="Z230" s="256"/>
      <c r="AA230" s="256"/>
    </row>
    <row r="231" spans="5:27" customFormat="1" x14ac:dyDescent="0.35">
      <c r="E231" s="2"/>
      <c r="F231" t="s">
        <v>198</v>
      </c>
      <c r="G231" t="s">
        <v>272</v>
      </c>
      <c r="H231" s="256"/>
      <c r="I231" s="256"/>
      <c r="J231" s="271">
        <f t="shared" ref="J231:K231" si="240">J$78 * J201</f>
        <v>0</v>
      </c>
      <c r="K231" s="271">
        <f t="shared" si="240"/>
        <v>0</v>
      </c>
      <c r="L231" s="271">
        <f t="shared" ref="L231:M231" si="241">L$78 * L201</f>
        <v>0</v>
      </c>
      <c r="M231" s="271">
        <f t="shared" si="241"/>
        <v>0</v>
      </c>
      <c r="N231" s="271">
        <f t="shared" ref="N231:P231" si="242">N$78 * N201</f>
        <v>0</v>
      </c>
      <c r="O231" s="271">
        <f t="shared" si="242"/>
        <v>0</v>
      </c>
      <c r="P231" s="271">
        <f t="shared" si="242"/>
        <v>0</v>
      </c>
      <c r="Q231" s="271">
        <f t="shared" ref="Q231:S231" si="243">Q$78 * Q201</f>
        <v>0</v>
      </c>
      <c r="R231" s="271">
        <f t="shared" si="243"/>
        <v>0</v>
      </c>
      <c r="S231" s="271">
        <f t="shared" si="243"/>
        <v>0</v>
      </c>
      <c r="T231" s="271">
        <f t="shared" ref="T231:U231" si="244">T$78 * T201</f>
        <v>1.0768997615908415E-2</v>
      </c>
      <c r="U231" s="271">
        <f t="shared" si="244"/>
        <v>0</v>
      </c>
      <c r="V231" s="271">
        <f t="shared" ref="V231:W231" si="245">V$78 * V201</f>
        <v>1.0304646342561903E-2</v>
      </c>
      <c r="W231" s="271">
        <f t="shared" si="245"/>
        <v>0</v>
      </c>
      <c r="X231" s="271">
        <f t="shared" ref="X231:Y231" si="246">X$78 * X201</f>
        <v>0</v>
      </c>
      <c r="Y231" s="271">
        <f t="shared" si="246"/>
        <v>0</v>
      </c>
      <c r="Z231" s="256"/>
      <c r="AA231" s="256"/>
    </row>
    <row r="232" spans="5:27" customFormat="1" x14ac:dyDescent="0.35">
      <c r="E232" s="2"/>
      <c r="F232" t="s">
        <v>199</v>
      </c>
      <c r="G232" t="s">
        <v>272</v>
      </c>
      <c r="H232" s="256"/>
      <c r="I232" s="256"/>
      <c r="J232" s="271">
        <f t="shared" ref="J232:K232" si="247">J$78 * J202</f>
        <v>0</v>
      </c>
      <c r="K232" s="271">
        <f t="shared" si="247"/>
        <v>0</v>
      </c>
      <c r="L232" s="271">
        <f t="shared" ref="L232:M232" si="248">L$78 * L202</f>
        <v>0</v>
      </c>
      <c r="M232" s="271">
        <f t="shared" si="248"/>
        <v>0</v>
      </c>
      <c r="N232" s="271">
        <f t="shared" ref="N232:P232" si="249">N$78 * N202</f>
        <v>0</v>
      </c>
      <c r="O232" s="271">
        <f t="shared" si="249"/>
        <v>0</v>
      </c>
      <c r="P232" s="271">
        <f t="shared" si="249"/>
        <v>0</v>
      </c>
      <c r="Q232" s="271">
        <f t="shared" ref="Q232:S232" si="250">Q$78 * Q202</f>
        <v>0</v>
      </c>
      <c r="R232" s="271">
        <f t="shared" si="250"/>
        <v>0</v>
      </c>
      <c r="S232" s="271">
        <f t="shared" si="250"/>
        <v>0</v>
      </c>
      <c r="T232" s="271">
        <f t="shared" ref="T232:U232" si="251">T$78 * T202</f>
        <v>2.1259797898182573E-3</v>
      </c>
      <c r="U232" s="271">
        <f t="shared" si="251"/>
        <v>0</v>
      </c>
      <c r="V232" s="271">
        <f t="shared" ref="V232:W232" si="252">V$78 * V202</f>
        <v>0</v>
      </c>
      <c r="W232" s="271">
        <f t="shared" si="252"/>
        <v>0</v>
      </c>
      <c r="X232" s="271">
        <f t="shared" ref="X232:Y232" si="253">X$78 * X202</f>
        <v>0</v>
      </c>
      <c r="Y232" s="271">
        <f t="shared" si="253"/>
        <v>0</v>
      </c>
      <c r="Z232" s="256"/>
      <c r="AA232" s="256"/>
    </row>
    <row r="233" spans="5:27" customFormat="1" x14ac:dyDescent="0.35">
      <c r="E233" s="2"/>
      <c r="F233" t="s">
        <v>375</v>
      </c>
      <c r="G233" t="s">
        <v>272</v>
      </c>
      <c r="H233" s="256"/>
      <c r="I233" s="256"/>
      <c r="J233" s="257"/>
      <c r="K233" s="257"/>
      <c r="L233" s="257"/>
      <c r="M233" s="257"/>
      <c r="N233" s="257"/>
      <c r="O233" s="257"/>
      <c r="P233" s="257"/>
      <c r="Q233" s="257"/>
      <c r="R233" s="257"/>
      <c r="S233" s="257"/>
      <c r="T233" s="257"/>
      <c r="U233" s="257"/>
      <c r="V233" s="257"/>
      <c r="W233" s="257"/>
      <c r="X233" s="257"/>
      <c r="Y233" s="257"/>
      <c r="Z233" s="256"/>
      <c r="AA233" s="256"/>
    </row>
    <row r="234" spans="5:27" customFormat="1" x14ac:dyDescent="0.35">
      <c r="E234" s="2"/>
      <c r="F234" s="28" t="s">
        <v>376</v>
      </c>
      <c r="G234" s="28" t="s">
        <v>272</v>
      </c>
      <c r="H234" s="258"/>
      <c r="I234" s="258"/>
      <c r="J234" s="259"/>
      <c r="K234" s="259"/>
      <c r="L234" s="259"/>
      <c r="M234" s="259"/>
      <c r="N234" s="259"/>
      <c r="O234" s="259"/>
      <c r="P234" s="259"/>
      <c r="Q234" s="259"/>
      <c r="R234" s="259"/>
      <c r="S234" s="259"/>
      <c r="T234" s="259"/>
      <c r="U234" s="259"/>
      <c r="V234" s="259"/>
      <c r="W234" s="259"/>
      <c r="X234" s="259"/>
      <c r="Y234" s="259"/>
      <c r="Z234" s="256"/>
      <c r="AA234" s="256"/>
    </row>
    <row r="235" spans="5:27" customFormat="1" x14ac:dyDescent="0.35">
      <c r="E235" s="2"/>
      <c r="J235" s="79"/>
      <c r="K235" s="79"/>
      <c r="L235" s="79"/>
      <c r="M235" s="79"/>
      <c r="N235" s="79"/>
      <c r="O235" s="79"/>
      <c r="P235" s="79"/>
      <c r="Q235" s="79"/>
      <c r="R235" s="79"/>
      <c r="S235" s="79"/>
      <c r="T235" s="79"/>
      <c r="U235" s="79"/>
      <c r="V235" s="79"/>
      <c r="W235" s="79"/>
      <c r="X235" s="79"/>
      <c r="Y235" s="79"/>
    </row>
    <row r="236" spans="5:27" customFormat="1" x14ac:dyDescent="0.35">
      <c r="E236" s="27" t="s">
        <v>621</v>
      </c>
      <c r="J236" s="79"/>
      <c r="K236" s="79"/>
      <c r="L236" s="79"/>
      <c r="M236" s="79"/>
      <c r="N236" s="79"/>
      <c r="O236" s="79"/>
      <c r="P236" s="79"/>
      <c r="Q236" s="79"/>
      <c r="R236" s="79"/>
      <c r="S236" s="79"/>
      <c r="T236" s="79"/>
      <c r="U236" s="79"/>
      <c r="V236" s="79"/>
      <c r="W236" s="79"/>
      <c r="X236" s="79"/>
      <c r="Y236" s="79"/>
    </row>
    <row r="237" spans="5:27" customFormat="1" x14ac:dyDescent="0.35">
      <c r="E237" s="2"/>
      <c r="F237" s="19" t="s">
        <v>189</v>
      </c>
      <c r="G237" s="19" t="s">
        <v>272</v>
      </c>
      <c r="H237" s="255"/>
      <c r="I237" s="255"/>
      <c r="J237" s="270">
        <f t="shared" ref="J237:K237" si="254">J$78 * J207</f>
        <v>0</v>
      </c>
      <c r="K237" s="270">
        <f t="shared" si="254"/>
        <v>0</v>
      </c>
      <c r="L237" s="270">
        <f t="shared" ref="L237:M237" si="255">L$78 * L207</f>
        <v>0</v>
      </c>
      <c r="M237" s="270">
        <f t="shared" si="255"/>
        <v>0</v>
      </c>
      <c r="N237" s="270">
        <f t="shared" ref="N237:P237" si="256">N$78 * N207</f>
        <v>1.2728605563515471E-2</v>
      </c>
      <c r="O237" s="270">
        <f t="shared" si="256"/>
        <v>9.871687275781851E-3</v>
      </c>
      <c r="P237" s="270">
        <f t="shared" si="256"/>
        <v>9.9207292650430826E-3</v>
      </c>
      <c r="Q237" s="270">
        <f t="shared" ref="Q237:S237" si="257">Q$78 * Q207</f>
        <v>0</v>
      </c>
      <c r="R237" s="270">
        <f t="shared" si="257"/>
        <v>0</v>
      </c>
      <c r="S237" s="270">
        <f t="shared" si="257"/>
        <v>0</v>
      </c>
      <c r="T237" s="270">
        <f t="shared" ref="T237:U237" si="258">T$78 * T207</f>
        <v>9.5179462757248624E-3</v>
      </c>
      <c r="U237" s="270">
        <f t="shared" si="258"/>
        <v>0</v>
      </c>
      <c r="V237" s="270">
        <f t="shared" ref="V237:W237" si="259">V$78 * V207</f>
        <v>9.1075394179642478E-3</v>
      </c>
      <c r="W237" s="270">
        <f t="shared" si="259"/>
        <v>0</v>
      </c>
      <c r="X237" s="270">
        <f t="shared" ref="X237:Y237" si="260">X$78 * X207</f>
        <v>8.9678264451095724E-3</v>
      </c>
      <c r="Y237" s="270">
        <f t="shared" si="260"/>
        <v>0</v>
      </c>
      <c r="Z237" s="256"/>
      <c r="AA237" s="256"/>
    </row>
    <row r="238" spans="5:27" customFormat="1" x14ac:dyDescent="0.35">
      <c r="E238" s="2"/>
      <c r="F238" t="s">
        <v>191</v>
      </c>
      <c r="G238" t="s">
        <v>272</v>
      </c>
      <c r="H238" s="256"/>
      <c r="I238" s="256"/>
      <c r="J238" s="271">
        <f t="shared" ref="J238:K238" si="261">J$78 * J208</f>
        <v>0</v>
      </c>
      <c r="K238" s="271">
        <f t="shared" si="261"/>
        <v>0</v>
      </c>
      <c r="L238" s="271">
        <f t="shared" ref="L238:M238" si="262">L$78 * L208</f>
        <v>0</v>
      </c>
      <c r="M238" s="271">
        <f t="shared" si="262"/>
        <v>0</v>
      </c>
      <c r="N238" s="271">
        <f t="shared" ref="N238:P238" si="263">N$78 * N208</f>
        <v>0</v>
      </c>
      <c r="O238" s="271">
        <f t="shared" si="263"/>
        <v>0</v>
      </c>
      <c r="P238" s="271">
        <f t="shared" si="263"/>
        <v>0</v>
      </c>
      <c r="Q238" s="271">
        <f t="shared" ref="Q238:S238" si="264">Q$78 * Q208</f>
        <v>0</v>
      </c>
      <c r="R238" s="271">
        <f t="shared" si="264"/>
        <v>0</v>
      </c>
      <c r="S238" s="271">
        <f t="shared" si="264"/>
        <v>0</v>
      </c>
      <c r="T238" s="271">
        <f t="shared" ref="T238:U238" si="265">T$78 * T208</f>
        <v>0</v>
      </c>
      <c r="U238" s="271">
        <f t="shared" si="265"/>
        <v>0</v>
      </c>
      <c r="V238" s="271">
        <f t="shared" ref="V238:W238" si="266">V$78 * V208</f>
        <v>0</v>
      </c>
      <c r="W238" s="271">
        <f t="shared" si="266"/>
        <v>0</v>
      </c>
      <c r="X238" s="271">
        <f t="shared" ref="X238:Y238" si="267">X$78 * X208</f>
        <v>0</v>
      </c>
      <c r="Y238" s="271">
        <f t="shared" si="267"/>
        <v>0</v>
      </c>
      <c r="Z238" s="256"/>
      <c r="AA238" s="256"/>
    </row>
    <row r="239" spans="5:27" customFormat="1" x14ac:dyDescent="0.35">
      <c r="E239" s="2"/>
      <c r="F239" t="s">
        <v>192</v>
      </c>
      <c r="G239" t="s">
        <v>272</v>
      </c>
      <c r="H239" s="256"/>
      <c r="I239" s="256"/>
      <c r="J239" s="271">
        <f t="shared" ref="J239:K239" si="268">J$78 * J209</f>
        <v>0</v>
      </c>
      <c r="K239" s="271">
        <f t="shared" si="268"/>
        <v>0</v>
      </c>
      <c r="L239" s="271">
        <f t="shared" ref="L239:M239" si="269">L$78 * L209</f>
        <v>0</v>
      </c>
      <c r="M239" s="271">
        <f t="shared" si="269"/>
        <v>0</v>
      </c>
      <c r="N239" s="271">
        <f t="shared" ref="N239:P239" si="270">N$78 * N209</f>
        <v>2.6550960199336802E-2</v>
      </c>
      <c r="O239" s="271">
        <f t="shared" si="270"/>
        <v>2.0591633125223042E-2</v>
      </c>
      <c r="P239" s="271">
        <f t="shared" si="270"/>
        <v>2.0693931204810292E-2</v>
      </c>
      <c r="Q239" s="271">
        <f t="shared" ref="Q239:S239" si="271">Q$78 * Q209</f>
        <v>0</v>
      </c>
      <c r="R239" s="271">
        <f t="shared" si="271"/>
        <v>0</v>
      </c>
      <c r="S239" s="271">
        <f t="shared" si="271"/>
        <v>0</v>
      </c>
      <c r="T239" s="271">
        <f t="shared" ref="T239:U239" si="272">T$78 * T209</f>
        <v>1.9853754716899367E-2</v>
      </c>
      <c r="U239" s="271">
        <f t="shared" si="272"/>
        <v>0</v>
      </c>
      <c r="V239" s="271">
        <f t="shared" ref="V239:W239" si="273">V$78 * V209</f>
        <v>1.8997675385069756E-2</v>
      </c>
      <c r="W239" s="271">
        <f t="shared" si="273"/>
        <v>0</v>
      </c>
      <c r="X239" s="271">
        <f t="shared" ref="X239:Y239" si="274">X$78 * X209</f>
        <v>1.8706244123170318E-2</v>
      </c>
      <c r="Y239" s="271">
        <f t="shared" si="274"/>
        <v>0</v>
      </c>
      <c r="Z239" s="256"/>
      <c r="AA239" s="256"/>
    </row>
    <row r="240" spans="5:27" customFormat="1" x14ac:dyDescent="0.35">
      <c r="E240" s="2"/>
      <c r="F240" t="s">
        <v>193</v>
      </c>
      <c r="G240" t="s">
        <v>272</v>
      </c>
      <c r="H240" s="256"/>
      <c r="I240" s="256"/>
      <c r="J240" s="271">
        <f t="shared" ref="J240:K240" si="275">J$78 * J210</f>
        <v>0</v>
      </c>
      <c r="K240" s="271">
        <f t="shared" si="275"/>
        <v>0</v>
      </c>
      <c r="L240" s="271">
        <f t="shared" ref="L240:M240" si="276">L$78 * L210</f>
        <v>0</v>
      </c>
      <c r="M240" s="271">
        <f t="shared" si="276"/>
        <v>0</v>
      </c>
      <c r="N240" s="271">
        <f t="shared" ref="N240:P240" si="277">N$78 * N210</f>
        <v>6.8700042501349196E-3</v>
      </c>
      <c r="O240" s="271">
        <f t="shared" si="277"/>
        <v>5.3280410962702127E-3</v>
      </c>
      <c r="P240" s="271">
        <f t="shared" si="277"/>
        <v>5.3545105058986683E-3</v>
      </c>
      <c r="Q240" s="271">
        <f t="shared" ref="Q240:S240" si="278">Q$78 * Q210</f>
        <v>0</v>
      </c>
      <c r="R240" s="271">
        <f t="shared" si="278"/>
        <v>0</v>
      </c>
      <c r="S240" s="271">
        <f t="shared" si="278"/>
        <v>0</v>
      </c>
      <c r="T240" s="271">
        <f t="shared" ref="T240:U240" si="279">T$78 * T210</f>
        <v>5.1371166339077168E-3</v>
      </c>
      <c r="U240" s="271">
        <f t="shared" si="279"/>
        <v>0</v>
      </c>
      <c r="V240" s="271">
        <f t="shared" ref="V240:W240" si="280">V$78 * V210</f>
        <v>4.9156079350144459E-3</v>
      </c>
      <c r="W240" s="271">
        <f t="shared" si="280"/>
        <v>0</v>
      </c>
      <c r="X240" s="271">
        <f t="shared" ref="X240:Y240" si="281">X$78 * X210</f>
        <v>4.8402007183699297E-3</v>
      </c>
      <c r="Y240" s="271">
        <f t="shared" si="281"/>
        <v>0</v>
      </c>
      <c r="Z240" s="256"/>
      <c r="AA240" s="256"/>
    </row>
    <row r="241" spans="2:27" x14ac:dyDescent="0.35">
      <c r="D241"/>
      <c r="F241" t="s">
        <v>194</v>
      </c>
      <c r="G241" t="s">
        <v>272</v>
      </c>
      <c r="H241" s="256"/>
      <c r="I241" s="256"/>
      <c r="J241" s="271">
        <f t="shared" ref="J241:K241" si="282">J$78 * J211</f>
        <v>0</v>
      </c>
      <c r="K241" s="271">
        <f t="shared" si="282"/>
        <v>0</v>
      </c>
      <c r="L241" s="271">
        <f t="shared" ref="L241:M241" si="283">L$78 * L211</f>
        <v>0</v>
      </c>
      <c r="M241" s="271">
        <f t="shared" si="283"/>
        <v>0</v>
      </c>
      <c r="N241" s="271">
        <f t="shared" ref="N241:P241" si="284">N$78 * N211</f>
        <v>1.8926734513719328E-2</v>
      </c>
      <c r="O241" s="271">
        <f t="shared" si="284"/>
        <v>1.467865457365794E-2</v>
      </c>
      <c r="P241" s="271">
        <f t="shared" si="284"/>
        <v>1.1801261845690979E-2</v>
      </c>
      <c r="Q241" s="271">
        <f t="shared" ref="Q241:S241" si="285">Q$78 * Q211</f>
        <v>0</v>
      </c>
      <c r="R241" s="271">
        <f t="shared" si="285"/>
        <v>0</v>
      </c>
      <c r="S241" s="271">
        <f t="shared" si="285"/>
        <v>0</v>
      </c>
      <c r="T241" s="271">
        <f t="shared" ref="T241:U241" si="286">T$78 * T211</f>
        <v>1.4152661214739915E-2</v>
      </c>
      <c r="U241" s="271">
        <f t="shared" si="286"/>
        <v>0</v>
      </c>
      <c r="V241" s="271">
        <f t="shared" ref="V241:W241" si="287">V$78 * V211</f>
        <v>1.3542408850434616E-2</v>
      </c>
      <c r="W241" s="271">
        <f t="shared" si="287"/>
        <v>0</v>
      </c>
      <c r="X241" s="271">
        <f t="shared" ref="X241:Y241" si="288">X$78 * X211</f>
        <v>1.3334663364713662E-2</v>
      </c>
      <c r="Y241" s="271">
        <f t="shared" si="288"/>
        <v>0</v>
      </c>
      <c r="Z241" s="256"/>
      <c r="AA241" s="256"/>
    </row>
    <row r="242" spans="2:27" x14ac:dyDescent="0.35">
      <c r="D242"/>
      <c r="F242" t="s">
        <v>195</v>
      </c>
      <c r="G242" t="s">
        <v>272</v>
      </c>
      <c r="H242" s="256"/>
      <c r="I242" s="256"/>
      <c r="J242" s="271">
        <f t="shared" ref="J242:K242" si="289">J$78 * J212</f>
        <v>0</v>
      </c>
      <c r="K242" s="271">
        <f t="shared" si="289"/>
        <v>0</v>
      </c>
      <c r="L242" s="271">
        <f t="shared" ref="L242:M242" si="290">L$78 * L212</f>
        <v>0</v>
      </c>
      <c r="M242" s="271">
        <f t="shared" si="290"/>
        <v>0</v>
      </c>
      <c r="N242" s="271">
        <f t="shared" ref="N242:P242" si="291">N$78 * N212</f>
        <v>1.3390516216248434E-2</v>
      </c>
      <c r="O242" s="271">
        <f t="shared" si="291"/>
        <v>1.0385032978552124E-2</v>
      </c>
      <c r="P242" s="271">
        <f t="shared" si="291"/>
        <v>0</v>
      </c>
      <c r="Q242" s="271">
        <f t="shared" ref="Q242:S242" si="292">Q$78 * Q212</f>
        <v>0</v>
      </c>
      <c r="R242" s="271">
        <f t="shared" si="292"/>
        <v>0</v>
      </c>
      <c r="S242" s="271">
        <f t="shared" si="292"/>
        <v>0</v>
      </c>
      <c r="T242" s="271">
        <f t="shared" ref="T242:U242" si="293">T$78 * T212</f>
        <v>1.0012896802756696E-2</v>
      </c>
      <c r="U242" s="271">
        <f t="shared" si="293"/>
        <v>0</v>
      </c>
      <c r="V242" s="271">
        <f t="shared" ref="V242:W242" si="294">V$78 * V212</f>
        <v>9.5811480415369105E-3</v>
      </c>
      <c r="W242" s="271">
        <f t="shared" si="294"/>
        <v>0</v>
      </c>
      <c r="X242" s="271">
        <f t="shared" ref="X242:Y242" si="295">X$78 * X212</f>
        <v>9.4341697398450698E-3</v>
      </c>
      <c r="Y242" s="271">
        <f t="shared" si="295"/>
        <v>0</v>
      </c>
      <c r="Z242" s="256"/>
      <c r="AA242" s="256"/>
    </row>
    <row r="243" spans="2:27" x14ac:dyDescent="0.35">
      <c r="D243"/>
      <c r="F243" t="s">
        <v>196</v>
      </c>
      <c r="G243" t="s">
        <v>272</v>
      </c>
      <c r="H243" s="256"/>
      <c r="I243" s="256"/>
      <c r="J243" s="271">
        <f t="shared" ref="J243:K243" si="296">J$78 * J213</f>
        <v>0</v>
      </c>
      <c r="K243" s="271">
        <f t="shared" si="296"/>
        <v>0</v>
      </c>
      <c r="L243" s="271">
        <f t="shared" ref="L243:M243" si="297">L$78 * L213</f>
        <v>0</v>
      </c>
      <c r="M243" s="271">
        <f t="shared" si="297"/>
        <v>0</v>
      </c>
      <c r="N243" s="271">
        <f t="shared" ref="N243:P243" si="298">N$78 * N213</f>
        <v>0</v>
      </c>
      <c r="O243" s="271">
        <f t="shared" si="298"/>
        <v>0</v>
      </c>
      <c r="P243" s="271">
        <f t="shared" si="298"/>
        <v>0</v>
      </c>
      <c r="Q243" s="271">
        <f t="shared" ref="Q243:S243" si="299">Q$78 * Q213</f>
        <v>0</v>
      </c>
      <c r="R243" s="271">
        <f t="shared" si="299"/>
        <v>0</v>
      </c>
      <c r="S243" s="271">
        <f t="shared" si="299"/>
        <v>0</v>
      </c>
      <c r="T243" s="271">
        <f t="shared" ref="T243:U243" si="300">T$78 * T213</f>
        <v>0</v>
      </c>
      <c r="U243" s="271">
        <f t="shared" si="300"/>
        <v>0</v>
      </c>
      <c r="V243" s="271">
        <f t="shared" ref="V243:W243" si="301">V$78 * V213</f>
        <v>0</v>
      </c>
      <c r="W243" s="271">
        <f t="shared" si="301"/>
        <v>0</v>
      </c>
      <c r="X243" s="271">
        <f t="shared" ref="X243:Y243" si="302">X$78 * X213</f>
        <v>0</v>
      </c>
      <c r="Y243" s="271">
        <f t="shared" si="302"/>
        <v>0</v>
      </c>
      <c r="Z243" s="256"/>
      <c r="AA243" s="256"/>
    </row>
    <row r="244" spans="2:27" x14ac:dyDescent="0.35">
      <c r="D244"/>
      <c r="F244" t="s">
        <v>197</v>
      </c>
      <c r="G244" t="s">
        <v>272</v>
      </c>
      <c r="H244" s="256"/>
      <c r="I244" s="256"/>
      <c r="J244" s="271">
        <f t="shared" ref="J244:K244" si="303">J$78 * J214</f>
        <v>0</v>
      </c>
      <c r="K244" s="271">
        <f t="shared" si="303"/>
        <v>0</v>
      </c>
      <c r="L244" s="271">
        <f t="shared" ref="L244:M244" si="304">L$78 * L214</f>
        <v>0</v>
      </c>
      <c r="M244" s="271">
        <f t="shared" si="304"/>
        <v>0</v>
      </c>
      <c r="N244" s="271">
        <f t="shared" ref="N244:P244" si="305">N$78 * N214</f>
        <v>3.4669074483805185E-2</v>
      </c>
      <c r="O244" s="271">
        <f t="shared" si="305"/>
        <v>0</v>
      </c>
      <c r="P244" s="271">
        <f t="shared" si="305"/>
        <v>0</v>
      </c>
      <c r="Q244" s="271">
        <f t="shared" ref="Q244:S244" si="306">Q$78 * Q214</f>
        <v>0</v>
      </c>
      <c r="R244" s="271">
        <f t="shared" si="306"/>
        <v>0</v>
      </c>
      <c r="S244" s="271">
        <f t="shared" si="306"/>
        <v>0</v>
      </c>
      <c r="T244" s="271">
        <f t="shared" ref="T244:U244" si="307">T$78 * T214</f>
        <v>3.2405198149885329E-2</v>
      </c>
      <c r="U244" s="271">
        <f t="shared" si="307"/>
        <v>0</v>
      </c>
      <c r="V244" s="271">
        <f t="shared" ref="V244:W244" si="308">V$78 * V214</f>
        <v>3.100790978929395E-2</v>
      </c>
      <c r="W244" s="271">
        <f t="shared" si="308"/>
        <v>0</v>
      </c>
      <c r="X244" s="271">
        <f t="shared" ref="X244:Y244" si="309">X$78 * X214</f>
        <v>3.0532237155901136E-2</v>
      </c>
      <c r="Y244" s="271">
        <f t="shared" si="309"/>
        <v>0</v>
      </c>
      <c r="Z244" s="256"/>
      <c r="AA244" s="256"/>
    </row>
    <row r="245" spans="2:27" x14ac:dyDescent="0.35">
      <c r="D245"/>
      <c r="F245" t="s">
        <v>198</v>
      </c>
      <c r="G245" t="s">
        <v>272</v>
      </c>
      <c r="H245" s="256"/>
      <c r="I245" s="256"/>
      <c r="J245" s="271">
        <f t="shared" ref="J245:K245" si="310">J$78 * J215</f>
        <v>0</v>
      </c>
      <c r="K245" s="271">
        <f t="shared" si="310"/>
        <v>0</v>
      </c>
      <c r="L245" s="271">
        <f t="shared" ref="L245:M245" si="311">L$78 * L215</f>
        <v>0</v>
      </c>
      <c r="M245" s="271">
        <f t="shared" si="311"/>
        <v>0</v>
      </c>
      <c r="N245" s="271">
        <f t="shared" ref="N245:P245" si="312">N$78 * N215</f>
        <v>0</v>
      </c>
      <c r="O245" s="271">
        <f t="shared" si="312"/>
        <v>0</v>
      </c>
      <c r="P245" s="271">
        <f t="shared" si="312"/>
        <v>0</v>
      </c>
      <c r="Q245" s="271">
        <f t="shared" ref="Q245:S245" si="313">Q$78 * Q215</f>
        <v>0</v>
      </c>
      <c r="R245" s="271">
        <f t="shared" si="313"/>
        <v>0</v>
      </c>
      <c r="S245" s="271">
        <f t="shared" si="313"/>
        <v>0</v>
      </c>
      <c r="T245" s="271">
        <f t="shared" ref="T245:U245" si="314">T$78 * T215</f>
        <v>1.2444353027421267E-2</v>
      </c>
      <c r="U245" s="271">
        <f t="shared" si="314"/>
        <v>0</v>
      </c>
      <c r="V245" s="271">
        <f t="shared" ref="V245:W245" si="315">V$78 * V215</f>
        <v>1.1907761658348972E-2</v>
      </c>
      <c r="W245" s="271">
        <f t="shared" si="315"/>
        <v>0</v>
      </c>
      <c r="X245" s="271">
        <f t="shared" ref="X245:Y245" si="316">X$78 * X215</f>
        <v>0</v>
      </c>
      <c r="Y245" s="271">
        <f t="shared" si="316"/>
        <v>0</v>
      </c>
      <c r="Z245" s="256"/>
      <c r="AA245" s="256"/>
    </row>
    <row r="246" spans="2:27" x14ac:dyDescent="0.35">
      <c r="D246"/>
      <c r="F246" t="s">
        <v>199</v>
      </c>
      <c r="G246" t="s">
        <v>272</v>
      </c>
      <c r="H246" s="256"/>
      <c r="I246" s="256"/>
      <c r="J246" s="271">
        <f t="shared" ref="J246:K246" si="317">J$78 * J216</f>
        <v>0</v>
      </c>
      <c r="K246" s="271">
        <f t="shared" si="317"/>
        <v>0</v>
      </c>
      <c r="L246" s="271">
        <f t="shared" ref="L246:M246" si="318">L$78 * L216</f>
        <v>0</v>
      </c>
      <c r="M246" s="271">
        <f t="shared" si="318"/>
        <v>0</v>
      </c>
      <c r="N246" s="271">
        <f t="shared" ref="N246:P246" si="319">N$78 * N216</f>
        <v>0</v>
      </c>
      <c r="O246" s="271">
        <f t="shared" si="319"/>
        <v>0</v>
      </c>
      <c r="P246" s="271">
        <f t="shared" si="319"/>
        <v>0</v>
      </c>
      <c r="Q246" s="271">
        <f t="shared" ref="Q246:S246" si="320">Q$78 * Q216</f>
        <v>0</v>
      </c>
      <c r="R246" s="271">
        <f t="shared" si="320"/>
        <v>0</v>
      </c>
      <c r="S246" s="271">
        <f t="shared" si="320"/>
        <v>0</v>
      </c>
      <c r="T246" s="271">
        <f t="shared" ref="T246:U246" si="321">T$78 * T216</f>
        <v>3.2155891541990889E-2</v>
      </c>
      <c r="U246" s="271">
        <f t="shared" si="321"/>
        <v>0</v>
      </c>
      <c r="V246" s="271">
        <f t="shared" ref="V246:W246" si="322">V$78 * V216</f>
        <v>0</v>
      </c>
      <c r="W246" s="271">
        <f t="shared" si="322"/>
        <v>0</v>
      </c>
      <c r="X246" s="271">
        <f t="shared" ref="X246:Y246" si="323">X$78 * X216</f>
        <v>0</v>
      </c>
      <c r="Y246" s="271">
        <f t="shared" si="323"/>
        <v>0</v>
      </c>
      <c r="Z246" s="256"/>
      <c r="AA246" s="256"/>
    </row>
    <row r="247" spans="2:27" x14ac:dyDescent="0.35">
      <c r="D247"/>
      <c r="F247" t="s">
        <v>375</v>
      </c>
      <c r="G247" t="s">
        <v>272</v>
      </c>
      <c r="H247" s="256"/>
      <c r="I247" s="256"/>
      <c r="J247" s="257"/>
      <c r="K247" s="257"/>
      <c r="L247" s="257"/>
      <c r="M247" s="257"/>
      <c r="N247" s="257"/>
      <c r="O247" s="257"/>
      <c r="P247" s="257"/>
      <c r="Q247" s="257"/>
      <c r="R247" s="257"/>
      <c r="S247" s="257"/>
      <c r="T247" s="257"/>
      <c r="U247" s="257"/>
      <c r="V247" s="257"/>
      <c r="W247" s="257"/>
      <c r="X247" s="257"/>
      <c r="Y247" s="257"/>
      <c r="Z247" s="256"/>
      <c r="AA247" s="256"/>
    </row>
    <row r="248" spans="2:27" x14ac:dyDescent="0.35">
      <c r="D248"/>
      <c r="F248" s="28" t="s">
        <v>376</v>
      </c>
      <c r="G248" s="28" t="s">
        <v>272</v>
      </c>
      <c r="H248" s="258"/>
      <c r="I248" s="258"/>
      <c r="J248" s="259"/>
      <c r="K248" s="259"/>
      <c r="L248" s="259"/>
      <c r="M248" s="259"/>
      <c r="N248" s="259"/>
      <c r="O248" s="259"/>
      <c r="P248" s="259"/>
      <c r="Q248" s="259"/>
      <c r="R248" s="259"/>
      <c r="S248" s="259"/>
      <c r="T248" s="259"/>
      <c r="U248" s="259"/>
      <c r="V248" s="259"/>
      <c r="W248" s="259"/>
      <c r="X248" s="259"/>
      <c r="Y248" s="259"/>
      <c r="Z248" s="256"/>
      <c r="AA248" s="256"/>
    </row>
    <row r="249" spans="2:27" x14ac:dyDescent="0.35">
      <c r="C249" s="78"/>
      <c r="J249" s="79"/>
      <c r="K249" s="79"/>
      <c r="L249" s="79"/>
      <c r="M249" s="79"/>
      <c r="N249" s="79"/>
      <c r="O249" s="79"/>
      <c r="P249" s="79"/>
      <c r="Q249" s="79"/>
      <c r="R249" s="79"/>
      <c r="S249" s="79"/>
      <c r="T249" s="79"/>
      <c r="U249" s="79"/>
      <c r="V249" s="79"/>
      <c r="W249" s="79"/>
      <c r="X249" s="79"/>
      <c r="Y249" s="79"/>
    </row>
    <row r="250" spans="2:27" x14ac:dyDescent="0.35">
      <c r="E250" t="s">
        <v>683</v>
      </c>
      <c r="G250" t="s">
        <v>272</v>
      </c>
      <c r="H250" s="256"/>
      <c r="I250" s="256" t="s">
        <v>154</v>
      </c>
      <c r="J250" s="261">
        <f t="shared" ref="J250:K250" si="324">SUM(J223:J234,J237:J248)</f>
        <v>0</v>
      </c>
      <c r="K250" s="261">
        <f t="shared" si="324"/>
        <v>0</v>
      </c>
      <c r="L250" s="261">
        <f t="shared" ref="L250:M250" si="325">SUM(L223:L234,L237:L248)</f>
        <v>0</v>
      </c>
      <c r="M250" s="261">
        <f t="shared" si="325"/>
        <v>0</v>
      </c>
      <c r="N250" s="261">
        <f t="shared" ref="N250:P250" si="326">SUM(N223:N234,N237:N248)</f>
        <v>0.24512613643318029</v>
      </c>
      <c r="O250" s="261">
        <f t="shared" si="326"/>
        <v>0.13673476998950587</v>
      </c>
      <c r="P250" s="261">
        <f t="shared" si="326"/>
        <v>0.10397606554030356</v>
      </c>
      <c r="Q250" s="261">
        <f t="shared" ref="Q250:S250" si="327">SUM(Q223:Q234,Q237:Q248)</f>
        <v>0</v>
      </c>
      <c r="R250" s="261">
        <f t="shared" si="327"/>
        <v>0</v>
      </c>
      <c r="S250" s="261">
        <f t="shared" si="327"/>
        <v>0</v>
      </c>
      <c r="T250" s="261">
        <f t="shared" ref="T250:U250" si="328">SUM(T223:T234,T237:T248)</f>
        <v>0.25365596464299434</v>
      </c>
      <c r="U250" s="261">
        <f t="shared" si="328"/>
        <v>0</v>
      </c>
      <c r="V250" s="261">
        <f t="shared" ref="V250:W250" si="329">SUM(V223:V234,V237:V248)</f>
        <v>0.20991484341611574</v>
      </c>
      <c r="W250" s="261">
        <f t="shared" si="329"/>
        <v>0</v>
      </c>
      <c r="X250" s="261">
        <f t="shared" ref="X250:Y250" si="330">SUM(X223:X234,X237:X248)</f>
        <v>0.18197756357782038</v>
      </c>
      <c r="Y250" s="261">
        <f t="shared" si="330"/>
        <v>0</v>
      </c>
      <c r="Z250" s="256"/>
      <c r="AA250" s="256" t="s">
        <v>682</v>
      </c>
    </row>
    <row r="251" spans="2:27" x14ac:dyDescent="0.35">
      <c r="C251" s="78"/>
    </row>
    <row r="252" spans="2:27" x14ac:dyDescent="0.35">
      <c r="B252" s="25" t="s">
        <v>231</v>
      </c>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row>
    <row r="254" spans="2:27" x14ac:dyDescent="0.35">
      <c r="E254" t="s">
        <v>232</v>
      </c>
      <c r="G254" s="6" t="s">
        <v>55</v>
      </c>
      <c r="H254" s="93">
        <f t="array" ref="H254">SUM(IF(ISERROR(H21:Y250), 1))</f>
        <v>0</v>
      </c>
    </row>
    <row r="256" spans="2:27" x14ac:dyDescent="0.35">
      <c r="B256" s="25" t="s">
        <v>106</v>
      </c>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row>
  </sheetData>
  <sheetProtection sheet="1" objects="1" formatCells="0" formatColumns="0" formatRows="0" sort="0" autoFilter="0"/>
  <conditionalFormatting sqref="A4:I4 Z4:XFD4">
    <cfRule type="expression" dxfId="59" priority="10">
      <formula>LEFT($A$4,1) &lt;&gt; "0"</formula>
    </cfRule>
  </conditionalFormatting>
  <conditionalFormatting sqref="N4:P4">
    <cfRule type="expression" dxfId="58" priority="9">
      <formula>LEFT($A$4,1) &lt;&gt; "0"</formula>
    </cfRule>
  </conditionalFormatting>
  <conditionalFormatting sqref="L4:M4">
    <cfRule type="expression" dxfId="57" priority="8">
      <formula>LEFT($A$4,1) &lt;&gt; "0"</formula>
    </cfRule>
  </conditionalFormatting>
  <conditionalFormatting sqref="J4:K4">
    <cfRule type="expression" dxfId="56" priority="7">
      <formula>LEFT($A$4,1) &lt;&gt; "0"</formula>
    </cfRule>
  </conditionalFormatting>
  <conditionalFormatting sqref="Q4">
    <cfRule type="expression" dxfId="55" priority="6">
      <formula>LEFT($A$4,1) &lt;&gt; "0"</formula>
    </cfRule>
  </conditionalFormatting>
  <conditionalFormatting sqref="R4:S4">
    <cfRule type="expression" dxfId="54" priority="5">
      <formula>LEFT($A$4,1) &lt;&gt; "0"</formula>
    </cfRule>
  </conditionalFormatting>
  <conditionalFormatting sqref="T4:U4">
    <cfRule type="expression" dxfId="53" priority="4">
      <formula>LEFT($A$4,1) &lt;&gt; "0"</formula>
    </cfRule>
  </conditionalFormatting>
  <conditionalFormatting sqref="V4:W4">
    <cfRule type="expression" dxfId="52" priority="3">
      <formula>LEFT($A$4,1) &lt;&gt; "0"</formula>
    </cfRule>
  </conditionalFormatting>
  <conditionalFormatting sqref="X4:Y4">
    <cfRule type="expression" dxfId="51" priority="2">
      <formula>LEFT($A$4,1) &lt;&gt; "0"</formula>
    </cfRule>
  </conditionalFormatting>
  <conditionalFormatting sqref="H254">
    <cfRule type="cellIs" dxfId="50" priority="1" operator="greaterThan">
      <formula>0</formula>
    </cfRule>
  </conditionalFormatting>
  <hyperlinks>
    <hyperlink ref="B5:F5" location="'Model map'!A1" display="Click here to return to model map" xr:uid="{00000000-0004-0000-14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9" width="24.54296875" hidden="1" customWidth="1"/>
    <col min="30" max="30" width="3.54296875" hidden="1" customWidth="1"/>
    <col min="31" max="31" width="15.453125" hidden="1" customWidth="1"/>
    <col min="32" max="315" width="24.54296875" hidden="1" customWidth="1"/>
    <col min="316" max="16384" width="8.54296875" hidden="1"/>
  </cols>
  <sheetData>
    <row r="1" spans="1:27" s="1" customFormat="1" x14ac:dyDescent="0.35">
      <c r="A1" s="1" t="str">
        <f ca="1">MID(CELL("filename",A1),FIND("]",CELL("filename",A1))+1,255)</f>
        <v>Fixed charges</v>
      </c>
    </row>
    <row r="2" spans="1:27" s="1" customFormat="1" x14ac:dyDescent="0.35">
      <c r="A2" s="1" t="str">
        <f>Cover!D21&amp;" - "&amp;Cover!D23</f>
        <v>Southern Electric Power Distribution - Final</v>
      </c>
    </row>
    <row r="3" spans="1:27" s="5" customFormat="1" x14ac:dyDescent="0.35">
      <c r="A3" s="5" t="str">
        <f>Cover!D2&amp;" - "&amp;Cover!D8&amp;" v"&amp;Cover!D10&amp;" - "&amp;Cover!D19</f>
        <v>CDCM charging model - Release for charge setting v9 - 2024/25</v>
      </c>
    </row>
    <row r="4" spans="1:27" x14ac:dyDescent="0.35">
      <c r="A4" s="11" t="str">
        <f>H165 &amp; IF(H165 = 1, " issue", " issues") &amp;" identified in checks on this sheet"</f>
        <v>0 issues identified in checks on this sheet</v>
      </c>
      <c r="B4" s="12"/>
      <c r="C4" s="12"/>
      <c r="D4" s="12"/>
      <c r="E4" s="12"/>
      <c r="F4" s="12"/>
      <c r="G4" s="12"/>
      <c r="H4" s="13"/>
      <c r="I4" s="13"/>
    </row>
    <row r="5" spans="1:27" ht="43.5" x14ac:dyDescent="0.3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3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35">
      <c r="D9" s="24" t="s">
        <v>715</v>
      </c>
      <c r="E9"/>
    </row>
    <row r="10" spans="1:27" x14ac:dyDescent="0.35">
      <c r="D10" s="81" t="s">
        <v>716</v>
      </c>
      <c r="E10"/>
    </row>
    <row r="11" spans="1:27" x14ac:dyDescent="0.35">
      <c r="D11" s="24" t="s">
        <v>717</v>
      </c>
      <c r="E11"/>
    </row>
    <row r="12" spans="1:27" x14ac:dyDescent="0.35">
      <c r="D12" s="81" t="s">
        <v>718</v>
      </c>
      <c r="E12"/>
    </row>
    <row r="14" spans="1:27" x14ac:dyDescent="0.35">
      <c r="B14" s="25" t="s">
        <v>719</v>
      </c>
      <c r="C14" s="25"/>
      <c r="D14" s="25"/>
      <c r="E14" s="25"/>
      <c r="F14" s="25"/>
      <c r="G14" s="25"/>
      <c r="H14" s="25"/>
      <c r="I14" s="25"/>
      <c r="J14" s="25"/>
      <c r="K14" s="25"/>
      <c r="L14" s="25"/>
      <c r="M14" s="25"/>
      <c r="N14" s="25"/>
      <c r="O14" s="25"/>
      <c r="P14" s="25"/>
      <c r="Q14" s="25"/>
      <c r="R14" s="25"/>
      <c r="S14" s="25"/>
      <c r="T14" s="25"/>
      <c r="U14" s="25"/>
      <c r="V14" s="25"/>
      <c r="W14" s="25"/>
      <c r="X14" s="25"/>
      <c r="Y14" s="25"/>
      <c r="Z14" s="25"/>
      <c r="AA14" s="25"/>
    </row>
    <row r="16" spans="1:27" x14ac:dyDescent="0.35">
      <c r="C16" s="26" t="str">
        <f ca="1">INDEX('Version control'!$H$38:$H$61,MATCH($A$1,'Version control'!$F$38:$F$61,0),1)&amp;"-A: Volumes (discounted MPANs &amp; maximum load)"</f>
        <v>Section 114-A: Volumes (discounted MPANs &amp; maximum load)</v>
      </c>
      <c r="D16" s="26"/>
      <c r="E16" s="26"/>
      <c r="F16" s="26"/>
      <c r="G16" s="26"/>
      <c r="H16" s="26"/>
      <c r="I16" s="26"/>
      <c r="J16" s="26"/>
      <c r="K16" s="26"/>
      <c r="L16" s="26"/>
      <c r="M16" s="26"/>
      <c r="N16" s="26"/>
      <c r="O16" s="26"/>
      <c r="P16" s="26"/>
      <c r="Q16" s="26"/>
      <c r="R16" s="26"/>
      <c r="S16" s="26"/>
      <c r="T16" s="26"/>
      <c r="U16" s="26"/>
      <c r="V16" s="26"/>
      <c r="W16" s="26"/>
      <c r="X16" s="26"/>
      <c r="Y16" s="26"/>
      <c r="Z16" s="26"/>
      <c r="AA16" s="26"/>
    </row>
    <row r="17" spans="3:27" x14ac:dyDescent="0.35">
      <c r="D17"/>
      <c r="E17" s="27"/>
      <c r="I17" t="s">
        <v>154</v>
      </c>
      <c r="AA17" t="s">
        <v>720</v>
      </c>
    </row>
    <row r="18" spans="3:27" x14ac:dyDescent="0.35">
      <c r="C18" s="78"/>
      <c r="E18" t="s">
        <v>548</v>
      </c>
      <c r="G18" t="s">
        <v>212</v>
      </c>
      <c r="J18" s="110">
        <f>'Volume adjustments'!J275</f>
        <v>2963525.8662584159</v>
      </c>
      <c r="K18" s="110">
        <f>'Volume adjustments'!K275</f>
        <v>30472.026964790908</v>
      </c>
      <c r="L18" s="110">
        <f>'Volume adjustments'!L275</f>
        <v>229506.51979697746</v>
      </c>
      <c r="M18" s="110">
        <f>'Volume adjustments'!M275</f>
        <v>4516.8450273566268</v>
      </c>
      <c r="N18" s="110">
        <f>'Volume adjustments'!N275</f>
        <v>23394.671482197118</v>
      </c>
      <c r="O18" s="110">
        <f>'Volume adjustments'!O275</f>
        <v>348.57415089106917</v>
      </c>
      <c r="P18" s="110">
        <f>'Volume adjustments'!P275</f>
        <v>1856.3686819904847</v>
      </c>
      <c r="Q18" s="110">
        <f>'Volume adjustments'!Q275</f>
        <v>4144.2452439404015</v>
      </c>
      <c r="R18" s="110">
        <f>'Volume adjustments'!R275</f>
        <v>8349.9354838709678</v>
      </c>
      <c r="S18" s="110">
        <f>'Volume adjustments'!S275</f>
        <v>39</v>
      </c>
      <c r="T18" s="110">
        <f>'Volume adjustments'!T275</f>
        <v>838.90322580645136</v>
      </c>
      <c r="U18" s="110">
        <f>'Volume adjustments'!U275</f>
        <v>0</v>
      </c>
      <c r="V18" s="110">
        <f>'Volume adjustments'!V275</f>
        <v>1</v>
      </c>
      <c r="W18" s="110">
        <f>'Volume adjustments'!W275</f>
        <v>0</v>
      </c>
      <c r="X18" s="110">
        <f>'Volume adjustments'!X275</f>
        <v>234.29032258064521</v>
      </c>
      <c r="Y18" s="110">
        <f>'Volume adjustments'!Y275</f>
        <v>0</v>
      </c>
    </row>
    <row r="19" spans="3:27" x14ac:dyDescent="0.35">
      <c r="C19" s="78"/>
      <c r="E19"/>
      <c r="J19" s="110"/>
      <c r="K19" s="110"/>
      <c r="L19" s="110"/>
      <c r="M19" s="110"/>
      <c r="N19" s="110"/>
      <c r="O19" s="110"/>
      <c r="P19" s="110"/>
      <c r="Q19" s="110"/>
      <c r="R19" s="110"/>
      <c r="S19" s="110"/>
      <c r="T19" s="110"/>
      <c r="U19" s="110"/>
      <c r="V19" s="110"/>
      <c r="W19" s="110"/>
      <c r="X19" s="110"/>
      <c r="Y19" s="110"/>
    </row>
    <row r="20" spans="3:27" x14ac:dyDescent="0.35">
      <c r="C20" s="78"/>
      <c r="E20" t="s">
        <v>470</v>
      </c>
      <c r="G20" t="s">
        <v>172</v>
      </c>
      <c r="H20" s="53"/>
      <c r="J20" s="110">
        <f>'System peak demand'!J200</f>
        <v>2439.890955488318</v>
      </c>
      <c r="K20" s="110">
        <f>'System peak demand'!K200</f>
        <v>193.35949746858032</v>
      </c>
      <c r="L20" s="110">
        <f>'System peak demand'!L200</f>
        <v>858.69198853825776</v>
      </c>
      <c r="M20" s="110">
        <f>'System peak demand'!M200</f>
        <v>20.371748816590319</v>
      </c>
      <c r="N20" s="110">
        <f>'System peak demand'!N200</f>
        <v>1019.9941138152561</v>
      </c>
      <c r="O20" s="110">
        <f>'System peak demand'!O200</f>
        <v>50.239899867444038</v>
      </c>
      <c r="P20" s="110">
        <f>'System peak demand'!P200</f>
        <v>654.14973409248114</v>
      </c>
      <c r="Q20" s="110">
        <f>'System peak demand'!Q200</f>
        <v>45.468893919492203</v>
      </c>
      <c r="R20" s="110">
        <f>'System peak demand'!R200</f>
        <v>0</v>
      </c>
      <c r="S20" s="110">
        <f>'System peak demand'!S200</f>
        <v>0</v>
      </c>
      <c r="T20" s="110">
        <f>'System peak demand'!T200</f>
        <v>0</v>
      </c>
      <c r="U20" s="110">
        <f>'System peak demand'!U200</f>
        <v>0</v>
      </c>
      <c r="V20" s="110">
        <f>'System peak demand'!V200</f>
        <v>0</v>
      </c>
      <c r="W20" s="110">
        <f>'System peak demand'!W200</f>
        <v>0</v>
      </c>
      <c r="X20" s="110">
        <f>'System peak demand'!X200</f>
        <v>0</v>
      </c>
      <c r="Y20" s="110">
        <f>'System peak demand'!Y200</f>
        <v>0</v>
      </c>
    </row>
    <row r="21" spans="3:27" x14ac:dyDescent="0.35">
      <c r="J21" s="79"/>
      <c r="K21" s="79"/>
      <c r="L21" s="79"/>
      <c r="M21" s="79"/>
      <c r="N21" s="79"/>
      <c r="O21" s="79"/>
      <c r="P21" s="79"/>
      <c r="Q21" s="79"/>
      <c r="R21" s="79"/>
      <c r="S21" s="79"/>
      <c r="T21" s="79"/>
      <c r="U21" s="79"/>
      <c r="V21" s="79"/>
      <c r="W21" s="79"/>
      <c r="X21" s="79"/>
      <c r="Y21" s="79"/>
    </row>
    <row r="22" spans="3:27" x14ac:dyDescent="0.35">
      <c r="C22" s="26" t="str">
        <f ca="1">INDEX('Version control'!$H$38:$H$61,MATCH($A$1,'Version control'!$F$38:$F$61,0),1)&amp;"-B: Capacity elements allocated to fixed charges"</f>
        <v>Section 114-B: Capacity elements allocated to fixed charges</v>
      </c>
      <c r="D22" s="26"/>
      <c r="E22" s="26"/>
      <c r="F22" s="26"/>
      <c r="G22" s="26"/>
      <c r="H22" s="26"/>
      <c r="I22" s="26"/>
      <c r="J22" s="80"/>
      <c r="K22" s="80"/>
      <c r="L22" s="80"/>
      <c r="M22" s="80"/>
      <c r="N22" s="80"/>
      <c r="O22" s="80"/>
      <c r="P22" s="80"/>
      <c r="Q22" s="80"/>
      <c r="R22" s="80"/>
      <c r="S22" s="80"/>
      <c r="T22" s="80"/>
      <c r="U22" s="80"/>
      <c r="V22" s="80"/>
      <c r="W22" s="80"/>
      <c r="X22" s="80"/>
      <c r="Y22" s="80"/>
      <c r="Z22" s="26"/>
      <c r="AA22" s="26"/>
    </row>
    <row r="23" spans="3:27" x14ac:dyDescent="0.35">
      <c r="D23"/>
      <c r="E23" s="27"/>
      <c r="I23" t="s">
        <v>154</v>
      </c>
      <c r="J23" s="79"/>
      <c r="K23" s="79"/>
      <c r="L23" s="79"/>
      <c r="M23" s="79"/>
      <c r="N23" s="79"/>
      <c r="O23" s="79"/>
      <c r="P23" s="79"/>
      <c r="Q23" s="79"/>
      <c r="R23" s="79"/>
      <c r="S23" s="79"/>
      <c r="T23" s="79"/>
      <c r="U23" s="79"/>
      <c r="V23" s="79"/>
      <c r="W23" s="79"/>
      <c r="X23" s="79"/>
      <c r="Y23" s="79"/>
      <c r="AA23" t="s">
        <v>720</v>
      </c>
    </row>
    <row r="24" spans="3:27" x14ac:dyDescent="0.35">
      <c r="C24" s="78"/>
      <c r="E24" s="27" t="s">
        <v>620</v>
      </c>
      <c r="J24" s="79"/>
      <c r="K24" s="79"/>
      <c r="L24" s="79"/>
      <c r="M24" s="79"/>
      <c r="N24" s="79"/>
      <c r="O24" s="79"/>
      <c r="P24" s="79"/>
      <c r="Q24" s="79"/>
      <c r="R24" s="79"/>
      <c r="S24" s="79"/>
      <c r="T24" s="79"/>
      <c r="U24" s="79"/>
      <c r="V24" s="79"/>
      <c r="W24" s="79"/>
      <c r="X24" s="79"/>
      <c r="Y24" s="79"/>
    </row>
    <row r="25" spans="3:27" x14ac:dyDescent="0.35">
      <c r="C25" s="78"/>
      <c r="E25" s="24"/>
      <c r="F25" s="19" t="s">
        <v>189</v>
      </c>
      <c r="G25" s="19" t="s">
        <v>271</v>
      </c>
      <c r="H25" s="19"/>
      <c r="I25" s="19"/>
      <c r="J25" s="73"/>
      <c r="K25" s="73"/>
      <c r="L25" s="73"/>
      <c r="M25" s="73"/>
      <c r="N25" s="73"/>
      <c r="O25" s="73"/>
      <c r="P25" s="73"/>
      <c r="Q25" s="73"/>
      <c r="R25" s="73"/>
      <c r="S25" s="73"/>
      <c r="T25" s="73"/>
      <c r="U25" s="73"/>
      <c r="V25" s="73"/>
      <c r="W25" s="73"/>
      <c r="X25" s="73"/>
      <c r="Y25" s="73"/>
    </row>
    <row r="26" spans="3:27" x14ac:dyDescent="0.35">
      <c r="C26" s="78"/>
      <c r="E26" s="24"/>
      <c r="F26" t="s">
        <v>191</v>
      </c>
      <c r="G26" t="s">
        <v>271</v>
      </c>
      <c r="J26" s="69"/>
      <c r="K26" s="69"/>
      <c r="L26" s="69"/>
      <c r="M26" s="69"/>
      <c r="N26" s="69"/>
      <c r="O26" s="69"/>
      <c r="P26" s="69"/>
      <c r="Q26" s="69"/>
      <c r="R26" s="69"/>
      <c r="S26" s="69"/>
      <c r="T26" s="69"/>
      <c r="U26" s="69"/>
      <c r="V26" s="69"/>
      <c r="W26" s="69"/>
      <c r="X26" s="69"/>
      <c r="Y26" s="69"/>
    </row>
    <row r="27" spans="3:27" x14ac:dyDescent="0.35">
      <c r="C27" s="78"/>
      <c r="E27" s="24"/>
      <c r="F27" t="s">
        <v>192</v>
      </c>
      <c r="G27" t="s">
        <v>271</v>
      </c>
      <c r="J27" s="110">
        <f>'Capacity charges'!J264</f>
        <v>0</v>
      </c>
      <c r="K27" s="110">
        <f>'Capacity charges'!K264</f>
        <v>0</v>
      </c>
      <c r="L27" s="110">
        <f>'Capacity charges'!L264</f>
        <v>0</v>
      </c>
      <c r="M27" s="110">
        <f>'Capacity charges'!M264</f>
        <v>0</v>
      </c>
      <c r="N27" s="110">
        <f>'Capacity charges'!N264</f>
        <v>0</v>
      </c>
      <c r="O27" s="110">
        <f>'Capacity charges'!O264</f>
        <v>0</v>
      </c>
      <c r="P27" s="110">
        <f>'Capacity charges'!P264</f>
        <v>0</v>
      </c>
      <c r="Q27" s="110">
        <f>'Capacity charges'!Q264</f>
        <v>0</v>
      </c>
      <c r="R27" s="110">
        <f>'Capacity charges'!R264</f>
        <v>0</v>
      </c>
      <c r="S27" s="110">
        <f>'Capacity charges'!S264</f>
        <v>0</v>
      </c>
      <c r="T27" s="110">
        <f>'Capacity charges'!T264</f>
        <v>0</v>
      </c>
      <c r="U27" s="110">
        <f>'Capacity charges'!U264</f>
        <v>0</v>
      </c>
      <c r="V27" s="110">
        <f>'Capacity charges'!V264</f>
        <v>0</v>
      </c>
      <c r="W27" s="110">
        <f>'Capacity charges'!W264</f>
        <v>0</v>
      </c>
      <c r="X27" s="110">
        <f>'Capacity charges'!X264</f>
        <v>0</v>
      </c>
      <c r="Y27" s="110">
        <f>'Capacity charges'!Y264</f>
        <v>0</v>
      </c>
    </row>
    <row r="28" spans="3:27" x14ac:dyDescent="0.35">
      <c r="C28" s="78"/>
      <c r="E28" s="24"/>
      <c r="F28" t="s">
        <v>193</v>
      </c>
      <c r="G28" t="s">
        <v>271</v>
      </c>
      <c r="J28" s="110">
        <f>'Capacity charges'!J265</f>
        <v>0</v>
      </c>
      <c r="K28" s="110">
        <f>'Capacity charges'!K265</f>
        <v>0</v>
      </c>
      <c r="L28" s="110">
        <f>'Capacity charges'!L265</f>
        <v>0</v>
      </c>
      <c r="M28" s="110">
        <f>'Capacity charges'!M265</f>
        <v>0</v>
      </c>
      <c r="N28" s="110">
        <f>'Capacity charges'!N265</f>
        <v>0</v>
      </c>
      <c r="O28" s="110">
        <f>'Capacity charges'!O265</f>
        <v>0</v>
      </c>
      <c r="P28" s="110">
        <f>'Capacity charges'!P265</f>
        <v>0</v>
      </c>
      <c r="Q28" s="110">
        <f>'Capacity charges'!Q265</f>
        <v>0</v>
      </c>
      <c r="R28" s="110">
        <f>'Capacity charges'!R265</f>
        <v>0</v>
      </c>
      <c r="S28" s="110">
        <f>'Capacity charges'!S265</f>
        <v>0</v>
      </c>
      <c r="T28" s="110">
        <f>'Capacity charges'!T265</f>
        <v>0</v>
      </c>
      <c r="U28" s="110">
        <f>'Capacity charges'!U265</f>
        <v>0</v>
      </c>
      <c r="V28" s="110">
        <f>'Capacity charges'!V265</f>
        <v>0</v>
      </c>
      <c r="W28" s="110">
        <f>'Capacity charges'!W265</f>
        <v>0</v>
      </c>
      <c r="X28" s="110">
        <f>'Capacity charges'!X265</f>
        <v>0</v>
      </c>
      <c r="Y28" s="110">
        <f>'Capacity charges'!Y265</f>
        <v>0</v>
      </c>
    </row>
    <row r="29" spans="3:27" x14ac:dyDescent="0.35">
      <c r="C29" s="78"/>
      <c r="E29" s="24"/>
      <c r="F29" t="s">
        <v>194</v>
      </c>
      <c r="G29" t="s">
        <v>271</v>
      </c>
      <c r="J29" s="110">
        <f>'Capacity charges'!J266</f>
        <v>0</v>
      </c>
      <c r="K29" s="110">
        <f>'Capacity charges'!K266</f>
        <v>0</v>
      </c>
      <c r="L29" s="110">
        <f>'Capacity charges'!L266</f>
        <v>0</v>
      </c>
      <c r="M29" s="110">
        <f>'Capacity charges'!M266</f>
        <v>0</v>
      </c>
      <c r="N29" s="110">
        <f>'Capacity charges'!N266</f>
        <v>0</v>
      </c>
      <c r="O29" s="110">
        <f>'Capacity charges'!O266</f>
        <v>0</v>
      </c>
      <c r="P29" s="110">
        <f>'Capacity charges'!P266</f>
        <v>0</v>
      </c>
      <c r="Q29" s="110">
        <f>'Capacity charges'!Q266</f>
        <v>0</v>
      </c>
      <c r="R29" s="110">
        <f>'Capacity charges'!R266</f>
        <v>0</v>
      </c>
      <c r="S29" s="110">
        <f>'Capacity charges'!S266</f>
        <v>0</v>
      </c>
      <c r="T29" s="110">
        <f>'Capacity charges'!T266</f>
        <v>0</v>
      </c>
      <c r="U29" s="110">
        <f>'Capacity charges'!U266</f>
        <v>0</v>
      </c>
      <c r="V29" s="110">
        <f>'Capacity charges'!V266</f>
        <v>0</v>
      </c>
      <c r="W29" s="110">
        <f>'Capacity charges'!W266</f>
        <v>0</v>
      </c>
      <c r="X29" s="110">
        <f>'Capacity charges'!X266</f>
        <v>0</v>
      </c>
      <c r="Y29" s="110">
        <f>'Capacity charges'!Y266</f>
        <v>0</v>
      </c>
    </row>
    <row r="30" spans="3:27" x14ac:dyDescent="0.35">
      <c r="C30" s="78"/>
      <c r="E30" s="24"/>
      <c r="F30" t="s">
        <v>195</v>
      </c>
      <c r="G30" t="s">
        <v>271</v>
      </c>
      <c r="J30" s="110">
        <f>'Capacity charges'!J267</f>
        <v>0</v>
      </c>
      <c r="K30" s="110">
        <f>'Capacity charges'!K267</f>
        <v>0</v>
      </c>
      <c r="L30" s="110">
        <f>'Capacity charges'!L267</f>
        <v>0</v>
      </c>
      <c r="M30" s="110">
        <f>'Capacity charges'!M267</f>
        <v>0</v>
      </c>
      <c r="N30" s="110">
        <f>'Capacity charges'!N267</f>
        <v>0</v>
      </c>
      <c r="O30" s="110">
        <f>'Capacity charges'!O267</f>
        <v>0</v>
      </c>
      <c r="P30" s="110">
        <f>'Capacity charges'!P267</f>
        <v>0</v>
      </c>
      <c r="Q30" s="110">
        <f>'Capacity charges'!Q267</f>
        <v>0</v>
      </c>
      <c r="R30" s="110">
        <f>'Capacity charges'!R267</f>
        <v>0</v>
      </c>
      <c r="S30" s="110">
        <f>'Capacity charges'!S267</f>
        <v>0</v>
      </c>
      <c r="T30" s="110">
        <f>'Capacity charges'!T267</f>
        <v>0</v>
      </c>
      <c r="U30" s="110">
        <f>'Capacity charges'!U267</f>
        <v>0</v>
      </c>
      <c r="V30" s="110">
        <f>'Capacity charges'!V267</f>
        <v>0</v>
      </c>
      <c r="W30" s="110">
        <f>'Capacity charges'!W267</f>
        <v>0</v>
      </c>
      <c r="X30" s="110">
        <f>'Capacity charges'!X267</f>
        <v>0</v>
      </c>
      <c r="Y30" s="110">
        <f>'Capacity charges'!Y267</f>
        <v>0</v>
      </c>
    </row>
    <row r="31" spans="3:27" x14ac:dyDescent="0.35">
      <c r="C31" s="78"/>
      <c r="E31" s="24"/>
      <c r="F31" t="s">
        <v>196</v>
      </c>
      <c r="G31" t="s">
        <v>271</v>
      </c>
      <c r="J31" s="110">
        <f>'Capacity charges'!J268</f>
        <v>0</v>
      </c>
      <c r="K31" s="110">
        <f>'Capacity charges'!K268</f>
        <v>0</v>
      </c>
      <c r="L31" s="110">
        <f>'Capacity charges'!L268</f>
        <v>0</v>
      </c>
      <c r="M31" s="110">
        <f>'Capacity charges'!M268</f>
        <v>0</v>
      </c>
      <c r="N31" s="110">
        <f>'Capacity charges'!N268</f>
        <v>0</v>
      </c>
      <c r="O31" s="110">
        <f>'Capacity charges'!O268</f>
        <v>0</v>
      </c>
      <c r="P31" s="110">
        <f>'Capacity charges'!P268</f>
        <v>0</v>
      </c>
      <c r="Q31" s="110">
        <f>'Capacity charges'!Q268</f>
        <v>0</v>
      </c>
      <c r="R31" s="110">
        <f>'Capacity charges'!R268</f>
        <v>0</v>
      </c>
      <c r="S31" s="110">
        <f>'Capacity charges'!S268</f>
        <v>0</v>
      </c>
      <c r="T31" s="110">
        <f>'Capacity charges'!T268</f>
        <v>0</v>
      </c>
      <c r="U31" s="110">
        <f>'Capacity charges'!U268</f>
        <v>0</v>
      </c>
      <c r="V31" s="110">
        <f>'Capacity charges'!V268</f>
        <v>0</v>
      </c>
      <c r="W31" s="110">
        <f>'Capacity charges'!W268</f>
        <v>0</v>
      </c>
      <c r="X31" s="110">
        <f>'Capacity charges'!X268</f>
        <v>0</v>
      </c>
      <c r="Y31" s="110">
        <f>'Capacity charges'!Y268</f>
        <v>0</v>
      </c>
    </row>
    <row r="32" spans="3:27" x14ac:dyDescent="0.35">
      <c r="C32" s="78"/>
      <c r="E32" s="24"/>
      <c r="F32" t="s">
        <v>197</v>
      </c>
      <c r="G32" t="s">
        <v>271</v>
      </c>
      <c r="J32" s="110">
        <f>'Capacity charges'!J269</f>
        <v>0</v>
      </c>
      <c r="K32" s="110">
        <f>'Capacity charges'!K269</f>
        <v>0</v>
      </c>
      <c r="L32" s="110">
        <f>'Capacity charges'!L269</f>
        <v>0</v>
      </c>
      <c r="M32" s="110">
        <f>'Capacity charges'!M269</f>
        <v>0</v>
      </c>
      <c r="N32" s="110">
        <f>'Capacity charges'!N269</f>
        <v>0</v>
      </c>
      <c r="O32" s="110">
        <f>'Capacity charges'!O269</f>
        <v>0</v>
      </c>
      <c r="P32" s="110">
        <f>'Capacity charges'!P269</f>
        <v>0</v>
      </c>
      <c r="Q32" s="110">
        <f>'Capacity charges'!Q269</f>
        <v>0</v>
      </c>
      <c r="R32" s="110">
        <f>'Capacity charges'!R269</f>
        <v>0</v>
      </c>
      <c r="S32" s="110">
        <f>'Capacity charges'!S269</f>
        <v>0</v>
      </c>
      <c r="T32" s="110">
        <f>'Capacity charges'!T269</f>
        <v>0</v>
      </c>
      <c r="U32" s="110">
        <f>'Capacity charges'!U269</f>
        <v>0</v>
      </c>
      <c r="V32" s="110">
        <f>'Capacity charges'!V269</f>
        <v>0</v>
      </c>
      <c r="W32" s="110">
        <f>'Capacity charges'!W269</f>
        <v>0</v>
      </c>
      <c r="X32" s="110">
        <f>'Capacity charges'!X269</f>
        <v>0</v>
      </c>
      <c r="Y32" s="110">
        <f>'Capacity charges'!Y269</f>
        <v>0</v>
      </c>
    </row>
    <row r="33" spans="3:25" x14ac:dyDescent="0.35">
      <c r="C33" s="78"/>
      <c r="E33" s="24"/>
      <c r="F33" t="s">
        <v>198</v>
      </c>
      <c r="G33" t="s">
        <v>271</v>
      </c>
      <c r="J33" s="110">
        <f>'Capacity charges'!J270</f>
        <v>0</v>
      </c>
      <c r="K33" s="110">
        <f>'Capacity charges'!K270</f>
        <v>0</v>
      </c>
      <c r="L33" s="110">
        <f>'Capacity charges'!L270</f>
        <v>0</v>
      </c>
      <c r="M33" s="110">
        <f>'Capacity charges'!M270</f>
        <v>0</v>
      </c>
      <c r="N33" s="110">
        <f>'Capacity charges'!N270</f>
        <v>0</v>
      </c>
      <c r="O33" s="110">
        <f>'Capacity charges'!O270</f>
        <v>0</v>
      </c>
      <c r="P33" s="110">
        <f>'Capacity charges'!P270</f>
        <v>0</v>
      </c>
      <c r="Q33" s="110">
        <f>'Capacity charges'!Q270</f>
        <v>0</v>
      </c>
      <c r="R33" s="110">
        <f>'Capacity charges'!R270</f>
        <v>0</v>
      </c>
      <c r="S33" s="110">
        <f>'Capacity charges'!S270</f>
        <v>0</v>
      </c>
      <c r="T33" s="110">
        <f>'Capacity charges'!T270</f>
        <v>0</v>
      </c>
      <c r="U33" s="110">
        <f>'Capacity charges'!U270</f>
        <v>0</v>
      </c>
      <c r="V33" s="110">
        <f>'Capacity charges'!V270</f>
        <v>0</v>
      </c>
      <c r="W33" s="110">
        <f>'Capacity charges'!W270</f>
        <v>0</v>
      </c>
      <c r="X33" s="110">
        <f>'Capacity charges'!X270</f>
        <v>0</v>
      </c>
      <c r="Y33" s="110">
        <f>'Capacity charges'!Y270</f>
        <v>0</v>
      </c>
    </row>
    <row r="34" spans="3:25" x14ac:dyDescent="0.35">
      <c r="C34" s="78"/>
      <c r="E34" s="24"/>
      <c r="F34" t="s">
        <v>199</v>
      </c>
      <c r="G34" t="s">
        <v>271</v>
      </c>
      <c r="J34" s="110">
        <f>'Capacity charges'!J271</f>
        <v>0.10733470520721861</v>
      </c>
      <c r="K34" s="110">
        <f>'Capacity charges'!K271</f>
        <v>0</v>
      </c>
      <c r="L34" s="110">
        <f>'Capacity charges'!L271</f>
        <v>0.10733470520721861</v>
      </c>
      <c r="M34" s="110">
        <f>'Capacity charges'!M271</f>
        <v>0</v>
      </c>
      <c r="N34" s="110">
        <f>'Capacity charges'!N271</f>
        <v>0</v>
      </c>
      <c r="O34" s="110">
        <f>'Capacity charges'!O271</f>
        <v>0</v>
      </c>
      <c r="P34" s="110">
        <f>'Capacity charges'!P271</f>
        <v>0</v>
      </c>
      <c r="Q34" s="110">
        <f>'Capacity charges'!Q271</f>
        <v>0</v>
      </c>
      <c r="R34" s="110">
        <f>'Capacity charges'!R271</f>
        <v>0</v>
      </c>
      <c r="S34" s="110">
        <f>'Capacity charges'!S271</f>
        <v>0</v>
      </c>
      <c r="T34" s="110">
        <f>'Capacity charges'!T271</f>
        <v>0</v>
      </c>
      <c r="U34" s="110">
        <f>'Capacity charges'!U271</f>
        <v>0</v>
      </c>
      <c r="V34" s="110">
        <f>'Capacity charges'!V271</f>
        <v>0</v>
      </c>
      <c r="W34" s="110">
        <f>'Capacity charges'!W271</f>
        <v>0</v>
      </c>
      <c r="X34" s="110">
        <f>'Capacity charges'!X271</f>
        <v>0</v>
      </c>
      <c r="Y34" s="110">
        <f>'Capacity charges'!Y271</f>
        <v>0</v>
      </c>
    </row>
    <row r="35" spans="3:25" x14ac:dyDescent="0.35">
      <c r="C35" s="78"/>
      <c r="E35" s="24"/>
      <c r="F35" t="s">
        <v>375</v>
      </c>
      <c r="G35" t="s">
        <v>271</v>
      </c>
      <c r="J35" s="69"/>
      <c r="K35" s="69"/>
      <c r="L35" s="69"/>
      <c r="M35" s="69"/>
      <c r="N35" s="69"/>
      <c r="O35" s="69"/>
      <c r="P35" s="69"/>
      <c r="Q35" s="69"/>
      <c r="R35" s="69"/>
      <c r="S35" s="69"/>
      <c r="T35" s="69"/>
      <c r="U35" s="69"/>
      <c r="V35" s="69"/>
      <c r="W35" s="69"/>
      <c r="X35" s="69"/>
      <c r="Y35" s="69"/>
    </row>
    <row r="36" spans="3:25" x14ac:dyDescent="0.35">
      <c r="C36" s="78"/>
      <c r="E36" s="24"/>
      <c r="F36" s="28" t="s">
        <v>376</v>
      </c>
      <c r="G36" s="28" t="s">
        <v>271</v>
      </c>
      <c r="H36" s="28"/>
      <c r="I36" s="28"/>
      <c r="J36" s="71"/>
      <c r="K36" s="71"/>
      <c r="L36" s="71"/>
      <c r="M36" s="71"/>
      <c r="N36" s="71"/>
      <c r="O36" s="71"/>
      <c r="P36" s="71"/>
      <c r="Q36" s="71"/>
      <c r="R36" s="71"/>
      <c r="S36" s="71"/>
      <c r="T36" s="71"/>
      <c r="U36" s="71"/>
      <c r="V36" s="71"/>
      <c r="W36" s="71"/>
      <c r="X36" s="71"/>
      <c r="Y36" s="71"/>
    </row>
    <row r="37" spans="3:25" x14ac:dyDescent="0.35">
      <c r="C37" s="78"/>
      <c r="D37"/>
      <c r="E37" s="24"/>
      <c r="J37" s="79"/>
      <c r="K37" s="79"/>
      <c r="L37" s="79"/>
      <c r="M37" s="79"/>
      <c r="N37" s="79"/>
      <c r="O37" s="79"/>
      <c r="P37" s="79"/>
      <c r="Q37" s="79"/>
      <c r="R37" s="79"/>
      <c r="S37" s="79"/>
      <c r="T37" s="79"/>
      <c r="U37" s="79"/>
      <c r="V37" s="79"/>
      <c r="W37" s="79"/>
      <c r="X37" s="79"/>
      <c r="Y37" s="79"/>
    </row>
    <row r="38" spans="3:25" x14ac:dyDescent="0.35">
      <c r="C38" s="78"/>
      <c r="E38" s="27" t="s">
        <v>621</v>
      </c>
      <c r="J38" s="79"/>
      <c r="K38" s="79"/>
      <c r="L38" s="79"/>
      <c r="M38" s="79"/>
      <c r="N38" s="79"/>
      <c r="O38" s="79"/>
      <c r="P38" s="79"/>
      <c r="Q38" s="79"/>
      <c r="R38" s="79"/>
      <c r="S38" s="79"/>
      <c r="T38" s="79"/>
      <c r="U38" s="79"/>
      <c r="V38" s="79"/>
      <c r="W38" s="79"/>
      <c r="X38" s="79"/>
      <c r="Y38" s="79"/>
    </row>
    <row r="39" spans="3:25" x14ac:dyDescent="0.35">
      <c r="C39" s="78"/>
      <c r="F39" s="19" t="s">
        <v>189</v>
      </c>
      <c r="G39" s="19" t="s">
        <v>271</v>
      </c>
      <c r="H39" s="19"/>
      <c r="I39" s="19"/>
      <c r="J39" s="114">
        <f>'Capacity charges'!J276</f>
        <v>0</v>
      </c>
      <c r="K39" s="114">
        <f>'Capacity charges'!K276</f>
        <v>0</v>
      </c>
      <c r="L39" s="114">
        <f>'Capacity charges'!L276</f>
        <v>0</v>
      </c>
      <c r="M39" s="114">
        <f>'Capacity charges'!M276</f>
        <v>0</v>
      </c>
      <c r="N39" s="114">
        <f>'Capacity charges'!N276</f>
        <v>0</v>
      </c>
      <c r="O39" s="114">
        <f>'Capacity charges'!O276</f>
        <v>0</v>
      </c>
      <c r="P39" s="114">
        <f>'Capacity charges'!P276</f>
        <v>0</v>
      </c>
      <c r="Q39" s="114">
        <f>'Capacity charges'!Q276</f>
        <v>0</v>
      </c>
      <c r="R39" s="114">
        <f>'Capacity charges'!R276</f>
        <v>0</v>
      </c>
      <c r="S39" s="114">
        <f>'Capacity charges'!S276</f>
        <v>0</v>
      </c>
      <c r="T39" s="114">
        <f>'Capacity charges'!T276</f>
        <v>0</v>
      </c>
      <c r="U39" s="114">
        <f>'Capacity charges'!U276</f>
        <v>0</v>
      </c>
      <c r="V39" s="114">
        <f>'Capacity charges'!V276</f>
        <v>0</v>
      </c>
      <c r="W39" s="114">
        <f>'Capacity charges'!W276</f>
        <v>0</v>
      </c>
      <c r="X39" s="114">
        <f>'Capacity charges'!X276</f>
        <v>0</v>
      </c>
      <c r="Y39" s="114">
        <f>'Capacity charges'!Y276</f>
        <v>0</v>
      </c>
    </row>
    <row r="40" spans="3:25" x14ac:dyDescent="0.35">
      <c r="C40" s="78"/>
      <c r="F40" t="s">
        <v>191</v>
      </c>
      <c r="G40" t="s">
        <v>271</v>
      </c>
      <c r="J40" s="110">
        <f>'Capacity charges'!J277</f>
        <v>0</v>
      </c>
      <c r="K40" s="110">
        <f>'Capacity charges'!K277</f>
        <v>0</v>
      </c>
      <c r="L40" s="110">
        <f>'Capacity charges'!L277</f>
        <v>0</v>
      </c>
      <c r="M40" s="110">
        <f>'Capacity charges'!M277</f>
        <v>0</v>
      </c>
      <c r="N40" s="110">
        <f>'Capacity charges'!N277</f>
        <v>0</v>
      </c>
      <c r="O40" s="110">
        <f>'Capacity charges'!O277</f>
        <v>0</v>
      </c>
      <c r="P40" s="110">
        <f>'Capacity charges'!P277</f>
        <v>0</v>
      </c>
      <c r="Q40" s="110">
        <f>'Capacity charges'!Q277</f>
        <v>0</v>
      </c>
      <c r="R40" s="110">
        <f>'Capacity charges'!R277</f>
        <v>0</v>
      </c>
      <c r="S40" s="110">
        <f>'Capacity charges'!S277</f>
        <v>0</v>
      </c>
      <c r="T40" s="110">
        <f>'Capacity charges'!T277</f>
        <v>0</v>
      </c>
      <c r="U40" s="110">
        <f>'Capacity charges'!U277</f>
        <v>0</v>
      </c>
      <c r="V40" s="110">
        <f>'Capacity charges'!V277</f>
        <v>0</v>
      </c>
      <c r="W40" s="110">
        <f>'Capacity charges'!W277</f>
        <v>0</v>
      </c>
      <c r="X40" s="110">
        <f>'Capacity charges'!X277</f>
        <v>0</v>
      </c>
      <c r="Y40" s="110">
        <f>'Capacity charges'!Y277</f>
        <v>0</v>
      </c>
    </row>
    <row r="41" spans="3:25" x14ac:dyDescent="0.35">
      <c r="C41" s="78"/>
      <c r="F41" t="s">
        <v>192</v>
      </c>
      <c r="G41" t="s">
        <v>271</v>
      </c>
      <c r="J41" s="110">
        <f>'Capacity charges'!J278</f>
        <v>0</v>
      </c>
      <c r="K41" s="110">
        <f>'Capacity charges'!K278</f>
        <v>0</v>
      </c>
      <c r="L41" s="110">
        <f>'Capacity charges'!L278</f>
        <v>0</v>
      </c>
      <c r="M41" s="110">
        <f>'Capacity charges'!M278</f>
        <v>0</v>
      </c>
      <c r="N41" s="110">
        <f>'Capacity charges'!N278</f>
        <v>0</v>
      </c>
      <c r="O41" s="110">
        <f>'Capacity charges'!O278</f>
        <v>0</v>
      </c>
      <c r="P41" s="110">
        <f>'Capacity charges'!P278</f>
        <v>0</v>
      </c>
      <c r="Q41" s="110">
        <f>'Capacity charges'!Q278</f>
        <v>0</v>
      </c>
      <c r="R41" s="110">
        <f>'Capacity charges'!R278</f>
        <v>0</v>
      </c>
      <c r="S41" s="110">
        <f>'Capacity charges'!S278</f>
        <v>0</v>
      </c>
      <c r="T41" s="110">
        <f>'Capacity charges'!T278</f>
        <v>0</v>
      </c>
      <c r="U41" s="110">
        <f>'Capacity charges'!U278</f>
        <v>0</v>
      </c>
      <c r="V41" s="110">
        <f>'Capacity charges'!V278</f>
        <v>0</v>
      </c>
      <c r="W41" s="110">
        <f>'Capacity charges'!W278</f>
        <v>0</v>
      </c>
      <c r="X41" s="110">
        <f>'Capacity charges'!X278</f>
        <v>0</v>
      </c>
      <c r="Y41" s="110">
        <f>'Capacity charges'!Y278</f>
        <v>0</v>
      </c>
    </row>
    <row r="42" spans="3:25" x14ac:dyDescent="0.35">
      <c r="C42" s="78"/>
      <c r="F42" t="s">
        <v>193</v>
      </c>
      <c r="G42" t="s">
        <v>271</v>
      </c>
      <c r="J42" s="110">
        <f>'Capacity charges'!J279</f>
        <v>0</v>
      </c>
      <c r="K42" s="110">
        <f>'Capacity charges'!K279</f>
        <v>0</v>
      </c>
      <c r="L42" s="110">
        <f>'Capacity charges'!L279</f>
        <v>0</v>
      </c>
      <c r="M42" s="110">
        <f>'Capacity charges'!M279</f>
        <v>0</v>
      </c>
      <c r="N42" s="110">
        <f>'Capacity charges'!N279</f>
        <v>0</v>
      </c>
      <c r="O42" s="110">
        <f>'Capacity charges'!O279</f>
        <v>0</v>
      </c>
      <c r="P42" s="110">
        <f>'Capacity charges'!P279</f>
        <v>0</v>
      </c>
      <c r="Q42" s="110">
        <f>'Capacity charges'!Q279</f>
        <v>0</v>
      </c>
      <c r="R42" s="110">
        <f>'Capacity charges'!R279</f>
        <v>0</v>
      </c>
      <c r="S42" s="110">
        <f>'Capacity charges'!S279</f>
        <v>0</v>
      </c>
      <c r="T42" s="110">
        <f>'Capacity charges'!T279</f>
        <v>0</v>
      </c>
      <c r="U42" s="110">
        <f>'Capacity charges'!U279</f>
        <v>0</v>
      </c>
      <c r="V42" s="110">
        <f>'Capacity charges'!V279</f>
        <v>0</v>
      </c>
      <c r="W42" s="110">
        <f>'Capacity charges'!W279</f>
        <v>0</v>
      </c>
      <c r="X42" s="110">
        <f>'Capacity charges'!X279</f>
        <v>0</v>
      </c>
      <c r="Y42" s="110">
        <f>'Capacity charges'!Y279</f>
        <v>0</v>
      </c>
    </row>
    <row r="43" spans="3:25" x14ac:dyDescent="0.35">
      <c r="C43" s="78"/>
      <c r="F43" t="s">
        <v>194</v>
      </c>
      <c r="G43" t="s">
        <v>271</v>
      </c>
      <c r="J43" s="110">
        <f>'Capacity charges'!J280</f>
        <v>0</v>
      </c>
      <c r="K43" s="110">
        <f>'Capacity charges'!K280</f>
        <v>0</v>
      </c>
      <c r="L43" s="110">
        <f>'Capacity charges'!L280</f>
        <v>0</v>
      </c>
      <c r="M43" s="110">
        <f>'Capacity charges'!M280</f>
        <v>0</v>
      </c>
      <c r="N43" s="110">
        <f>'Capacity charges'!N280</f>
        <v>0</v>
      </c>
      <c r="O43" s="110">
        <f>'Capacity charges'!O280</f>
        <v>0</v>
      </c>
      <c r="P43" s="110">
        <f>'Capacity charges'!P280</f>
        <v>0</v>
      </c>
      <c r="Q43" s="110">
        <f>'Capacity charges'!Q280</f>
        <v>0</v>
      </c>
      <c r="R43" s="110">
        <f>'Capacity charges'!R280</f>
        <v>0</v>
      </c>
      <c r="S43" s="110">
        <f>'Capacity charges'!S280</f>
        <v>0</v>
      </c>
      <c r="T43" s="110">
        <f>'Capacity charges'!T280</f>
        <v>0</v>
      </c>
      <c r="U43" s="110">
        <f>'Capacity charges'!U280</f>
        <v>0</v>
      </c>
      <c r="V43" s="110">
        <f>'Capacity charges'!V280</f>
        <v>0</v>
      </c>
      <c r="W43" s="110">
        <f>'Capacity charges'!W280</f>
        <v>0</v>
      </c>
      <c r="X43" s="110">
        <f>'Capacity charges'!X280</f>
        <v>0</v>
      </c>
      <c r="Y43" s="110">
        <f>'Capacity charges'!Y280</f>
        <v>0</v>
      </c>
    </row>
    <row r="44" spans="3:25" x14ac:dyDescent="0.35">
      <c r="C44" s="78"/>
      <c r="F44" t="s">
        <v>195</v>
      </c>
      <c r="G44" t="s">
        <v>271</v>
      </c>
      <c r="J44" s="110">
        <f>'Capacity charges'!J281</f>
        <v>0</v>
      </c>
      <c r="K44" s="110">
        <f>'Capacity charges'!K281</f>
        <v>0</v>
      </c>
      <c r="L44" s="110">
        <f>'Capacity charges'!L281</f>
        <v>0</v>
      </c>
      <c r="M44" s="110">
        <f>'Capacity charges'!M281</f>
        <v>0</v>
      </c>
      <c r="N44" s="110">
        <f>'Capacity charges'!N281</f>
        <v>0</v>
      </c>
      <c r="O44" s="110">
        <f>'Capacity charges'!O281</f>
        <v>0</v>
      </c>
      <c r="P44" s="110">
        <f>'Capacity charges'!P281</f>
        <v>0</v>
      </c>
      <c r="Q44" s="110">
        <f>'Capacity charges'!Q281</f>
        <v>0</v>
      </c>
      <c r="R44" s="110">
        <f>'Capacity charges'!R281</f>
        <v>0</v>
      </c>
      <c r="S44" s="110">
        <f>'Capacity charges'!S281</f>
        <v>0</v>
      </c>
      <c r="T44" s="110">
        <f>'Capacity charges'!T281</f>
        <v>0</v>
      </c>
      <c r="U44" s="110">
        <f>'Capacity charges'!U281</f>
        <v>0</v>
      </c>
      <c r="V44" s="110">
        <f>'Capacity charges'!V281</f>
        <v>0</v>
      </c>
      <c r="W44" s="110">
        <f>'Capacity charges'!W281</f>
        <v>0</v>
      </c>
      <c r="X44" s="110">
        <f>'Capacity charges'!X281</f>
        <v>0</v>
      </c>
      <c r="Y44" s="110">
        <f>'Capacity charges'!Y281</f>
        <v>0</v>
      </c>
    </row>
    <row r="45" spans="3:25" x14ac:dyDescent="0.35">
      <c r="C45" s="78"/>
      <c r="F45" t="s">
        <v>196</v>
      </c>
      <c r="G45" t="s">
        <v>271</v>
      </c>
      <c r="J45" s="110">
        <f>'Capacity charges'!J282</f>
        <v>0</v>
      </c>
      <c r="K45" s="110">
        <f>'Capacity charges'!K282</f>
        <v>0</v>
      </c>
      <c r="L45" s="110">
        <f>'Capacity charges'!L282</f>
        <v>0</v>
      </c>
      <c r="M45" s="110">
        <f>'Capacity charges'!M282</f>
        <v>0</v>
      </c>
      <c r="N45" s="110">
        <f>'Capacity charges'!N282</f>
        <v>0</v>
      </c>
      <c r="O45" s="110">
        <f>'Capacity charges'!O282</f>
        <v>0</v>
      </c>
      <c r="P45" s="110">
        <f>'Capacity charges'!P282</f>
        <v>0</v>
      </c>
      <c r="Q45" s="110">
        <f>'Capacity charges'!Q282</f>
        <v>0</v>
      </c>
      <c r="R45" s="110">
        <f>'Capacity charges'!R282</f>
        <v>0</v>
      </c>
      <c r="S45" s="110">
        <f>'Capacity charges'!S282</f>
        <v>0</v>
      </c>
      <c r="T45" s="110">
        <f>'Capacity charges'!T282</f>
        <v>0</v>
      </c>
      <c r="U45" s="110">
        <f>'Capacity charges'!U282</f>
        <v>0</v>
      </c>
      <c r="V45" s="110">
        <f>'Capacity charges'!V282</f>
        <v>0</v>
      </c>
      <c r="W45" s="110">
        <f>'Capacity charges'!W282</f>
        <v>0</v>
      </c>
      <c r="X45" s="110">
        <f>'Capacity charges'!X282</f>
        <v>0</v>
      </c>
      <c r="Y45" s="110">
        <f>'Capacity charges'!Y282</f>
        <v>0</v>
      </c>
    </row>
    <row r="46" spans="3:25" x14ac:dyDescent="0.35">
      <c r="C46" s="78"/>
      <c r="F46" t="s">
        <v>197</v>
      </c>
      <c r="G46" t="s">
        <v>271</v>
      </c>
      <c r="J46" s="110">
        <f>'Capacity charges'!J283</f>
        <v>0</v>
      </c>
      <c r="K46" s="110">
        <f>'Capacity charges'!K283</f>
        <v>0</v>
      </c>
      <c r="L46" s="110">
        <f>'Capacity charges'!L283</f>
        <v>0</v>
      </c>
      <c r="M46" s="110">
        <f>'Capacity charges'!M283</f>
        <v>0</v>
      </c>
      <c r="N46" s="110">
        <f>'Capacity charges'!N283</f>
        <v>0</v>
      </c>
      <c r="O46" s="110">
        <f>'Capacity charges'!O283</f>
        <v>0</v>
      </c>
      <c r="P46" s="110">
        <f>'Capacity charges'!P283</f>
        <v>0</v>
      </c>
      <c r="Q46" s="110">
        <f>'Capacity charges'!Q283</f>
        <v>0</v>
      </c>
      <c r="R46" s="110">
        <f>'Capacity charges'!R283</f>
        <v>0</v>
      </c>
      <c r="S46" s="110">
        <f>'Capacity charges'!S283</f>
        <v>0</v>
      </c>
      <c r="T46" s="110">
        <f>'Capacity charges'!T283</f>
        <v>0</v>
      </c>
      <c r="U46" s="110">
        <f>'Capacity charges'!U283</f>
        <v>0</v>
      </c>
      <c r="V46" s="110">
        <f>'Capacity charges'!V283</f>
        <v>0</v>
      </c>
      <c r="W46" s="110">
        <f>'Capacity charges'!W283</f>
        <v>0</v>
      </c>
      <c r="X46" s="110">
        <f>'Capacity charges'!X283</f>
        <v>0</v>
      </c>
      <c r="Y46" s="110">
        <f>'Capacity charges'!Y283</f>
        <v>0</v>
      </c>
    </row>
    <row r="47" spans="3:25" x14ac:dyDescent="0.35">
      <c r="C47" s="78"/>
      <c r="F47" t="s">
        <v>198</v>
      </c>
      <c r="G47" t="s">
        <v>271</v>
      </c>
      <c r="J47" s="110">
        <f>'Capacity charges'!J284</f>
        <v>0</v>
      </c>
      <c r="K47" s="110">
        <f>'Capacity charges'!K284</f>
        <v>0</v>
      </c>
      <c r="L47" s="110">
        <f>'Capacity charges'!L284</f>
        <v>0</v>
      </c>
      <c r="M47" s="110">
        <f>'Capacity charges'!M284</f>
        <v>0</v>
      </c>
      <c r="N47" s="110">
        <f>'Capacity charges'!N284</f>
        <v>0</v>
      </c>
      <c r="O47" s="110">
        <f>'Capacity charges'!O284</f>
        <v>0</v>
      </c>
      <c r="P47" s="110">
        <f>'Capacity charges'!P284</f>
        <v>0</v>
      </c>
      <c r="Q47" s="110">
        <f>'Capacity charges'!Q284</f>
        <v>0</v>
      </c>
      <c r="R47" s="110">
        <f>'Capacity charges'!R284</f>
        <v>0</v>
      </c>
      <c r="S47" s="110">
        <f>'Capacity charges'!S284</f>
        <v>0</v>
      </c>
      <c r="T47" s="110">
        <f>'Capacity charges'!T284</f>
        <v>0</v>
      </c>
      <c r="U47" s="110">
        <f>'Capacity charges'!U284</f>
        <v>0</v>
      </c>
      <c r="V47" s="110">
        <f>'Capacity charges'!V284</f>
        <v>0</v>
      </c>
      <c r="W47" s="110">
        <f>'Capacity charges'!W284</f>
        <v>0</v>
      </c>
      <c r="X47" s="110">
        <f>'Capacity charges'!X284</f>
        <v>0</v>
      </c>
      <c r="Y47" s="110">
        <f>'Capacity charges'!Y284</f>
        <v>0</v>
      </c>
    </row>
    <row r="48" spans="3:25" x14ac:dyDescent="0.35">
      <c r="C48" s="78"/>
      <c r="F48" t="s">
        <v>199</v>
      </c>
      <c r="G48" t="s">
        <v>271</v>
      </c>
      <c r="J48" s="110">
        <f>'Capacity charges'!J285</f>
        <v>1.623459995181769</v>
      </c>
      <c r="K48" s="110">
        <f>'Capacity charges'!K285</f>
        <v>0</v>
      </c>
      <c r="L48" s="110">
        <f>'Capacity charges'!L285</f>
        <v>1.623459995181769</v>
      </c>
      <c r="M48" s="110">
        <f>'Capacity charges'!M285</f>
        <v>0</v>
      </c>
      <c r="N48" s="110">
        <f>'Capacity charges'!N285</f>
        <v>0</v>
      </c>
      <c r="O48" s="110">
        <f>'Capacity charges'!O285</f>
        <v>0</v>
      </c>
      <c r="P48" s="110">
        <f>'Capacity charges'!P285</f>
        <v>0</v>
      </c>
      <c r="Q48" s="110">
        <f>'Capacity charges'!Q285</f>
        <v>0</v>
      </c>
      <c r="R48" s="110">
        <f>'Capacity charges'!R285</f>
        <v>0</v>
      </c>
      <c r="S48" s="110">
        <f>'Capacity charges'!S285</f>
        <v>0</v>
      </c>
      <c r="T48" s="110">
        <f>'Capacity charges'!T285</f>
        <v>0</v>
      </c>
      <c r="U48" s="110">
        <f>'Capacity charges'!U285</f>
        <v>0</v>
      </c>
      <c r="V48" s="110">
        <f>'Capacity charges'!V285</f>
        <v>0</v>
      </c>
      <c r="W48" s="110">
        <f>'Capacity charges'!W285</f>
        <v>0</v>
      </c>
      <c r="X48" s="110">
        <f>'Capacity charges'!X285</f>
        <v>0</v>
      </c>
      <c r="Y48" s="110">
        <f>'Capacity charges'!Y285</f>
        <v>0</v>
      </c>
    </row>
    <row r="49" spans="3:27" x14ac:dyDescent="0.35">
      <c r="C49" s="78"/>
      <c r="F49" t="s">
        <v>375</v>
      </c>
      <c r="G49" t="s">
        <v>271</v>
      </c>
      <c r="J49" s="69"/>
      <c r="K49" s="69"/>
      <c r="L49" s="69"/>
      <c r="M49" s="69"/>
      <c r="N49" s="69"/>
      <c r="O49" s="69"/>
      <c r="P49" s="69"/>
      <c r="Q49" s="69"/>
      <c r="R49" s="69"/>
      <c r="S49" s="69"/>
      <c r="T49" s="69"/>
      <c r="U49" s="69"/>
      <c r="V49" s="69"/>
      <c r="W49" s="69"/>
      <c r="X49" s="69"/>
      <c r="Y49" s="69"/>
    </row>
    <row r="50" spans="3:27" x14ac:dyDescent="0.35">
      <c r="C50" s="78"/>
      <c r="F50" s="28" t="s">
        <v>376</v>
      </c>
      <c r="G50" s="28" t="s">
        <v>271</v>
      </c>
      <c r="H50" s="28"/>
      <c r="I50" s="28"/>
      <c r="J50" s="71"/>
      <c r="K50" s="71"/>
      <c r="L50" s="71"/>
      <c r="M50" s="71"/>
      <c r="N50" s="71"/>
      <c r="O50" s="71"/>
      <c r="P50" s="71"/>
      <c r="Q50" s="71"/>
      <c r="R50" s="71"/>
      <c r="S50" s="71"/>
      <c r="T50" s="71"/>
      <c r="U50" s="71"/>
      <c r="V50" s="71"/>
      <c r="W50" s="71"/>
      <c r="X50" s="71"/>
      <c r="Y50" s="71"/>
    </row>
    <row r="51" spans="3:27" x14ac:dyDescent="0.35">
      <c r="C51" s="78"/>
      <c r="J51" s="79"/>
      <c r="K51" s="79"/>
      <c r="L51" s="79"/>
      <c r="M51" s="79"/>
      <c r="N51" s="79"/>
      <c r="O51" s="79"/>
      <c r="P51" s="79"/>
      <c r="Q51" s="79"/>
      <c r="R51" s="79"/>
      <c r="S51" s="79"/>
      <c r="T51" s="79"/>
      <c r="U51" s="79"/>
      <c r="V51" s="79"/>
      <c r="W51" s="79"/>
      <c r="X51" s="79"/>
      <c r="Y51" s="79"/>
    </row>
    <row r="52" spans="3:27" x14ac:dyDescent="0.35">
      <c r="C52" s="26" t="str">
        <f ca="1">INDEX('Version control'!$H$38:$H$61,MATCH($A$1,'Version control'!$F$38:$F$61,0),1)&amp;"-C: Service model costs allocated to fixed charges"</f>
        <v>Section 114-C: Service model costs allocated to fixed charges</v>
      </c>
      <c r="D52" s="26"/>
      <c r="E52" s="26"/>
      <c r="F52" s="26"/>
      <c r="G52" s="26"/>
      <c r="H52" s="26"/>
      <c r="I52" s="26"/>
      <c r="J52" s="80"/>
      <c r="K52" s="80"/>
      <c r="L52" s="80"/>
      <c r="M52" s="80"/>
      <c r="N52" s="80"/>
      <c r="O52" s="80"/>
      <c r="P52" s="80"/>
      <c r="Q52" s="80"/>
      <c r="R52" s="80"/>
      <c r="S52" s="80"/>
      <c r="T52" s="80"/>
      <c r="U52" s="80"/>
      <c r="V52" s="80"/>
      <c r="W52" s="80"/>
      <c r="X52" s="80"/>
      <c r="Y52" s="80"/>
      <c r="Z52" s="26"/>
      <c r="AA52" s="26"/>
    </row>
    <row r="53" spans="3:27" x14ac:dyDescent="0.35">
      <c r="D53"/>
    </row>
    <row r="54" spans="3:27" x14ac:dyDescent="0.35">
      <c r="C54" s="27"/>
      <c r="D54"/>
      <c r="E54" s="27" t="s">
        <v>621</v>
      </c>
      <c r="I54" t="s">
        <v>154</v>
      </c>
      <c r="J54" s="79"/>
      <c r="K54" s="79"/>
      <c r="L54" s="79"/>
      <c r="M54" s="79"/>
      <c r="N54" s="79"/>
      <c r="O54" s="79"/>
      <c r="P54" s="79"/>
      <c r="Q54" s="79"/>
      <c r="R54" s="79"/>
      <c r="S54" s="79"/>
      <c r="T54" s="79"/>
      <c r="U54" s="79"/>
      <c r="V54" s="79"/>
      <c r="W54" s="79"/>
      <c r="X54" s="79"/>
      <c r="Y54" s="79"/>
      <c r="AA54" t="s">
        <v>721</v>
      </c>
    </row>
    <row r="55" spans="3:27" x14ac:dyDescent="0.35">
      <c r="C55" s="78"/>
      <c r="D55"/>
      <c r="F55" s="19" t="s">
        <v>375</v>
      </c>
      <c r="G55" s="19" t="s">
        <v>270</v>
      </c>
      <c r="H55" s="19"/>
      <c r="I55" s="19"/>
      <c r="J55" s="114">
        <f>'Service model charges'!J42</f>
        <v>3.7584898602855707</v>
      </c>
      <c r="K55" s="114">
        <f>'Service model charges'!K42</f>
        <v>0</v>
      </c>
      <c r="L55" s="114">
        <f>'Service model charges'!L42</f>
        <v>7.6951209645410064</v>
      </c>
      <c r="M55" s="114">
        <f>'Service model charges'!M42</f>
        <v>0</v>
      </c>
      <c r="N55" s="114">
        <f>'Service model charges'!N42</f>
        <v>22.808539817430944</v>
      </c>
      <c r="O55" s="114">
        <f>'Service model charges'!O42</f>
        <v>58.506264025464517</v>
      </c>
      <c r="P55" s="114">
        <f>'Service model charges'!P42</f>
        <v>0</v>
      </c>
      <c r="Q55" s="73"/>
      <c r="R55" s="114">
        <f>'Service model charges'!R42</f>
        <v>0</v>
      </c>
      <c r="S55" s="114">
        <f>'Service model charges'!S42</f>
        <v>0</v>
      </c>
      <c r="T55" s="114">
        <f>'Service model charges'!T42</f>
        <v>0</v>
      </c>
      <c r="U55" s="114">
        <f>'Service model charges'!U42</f>
        <v>0</v>
      </c>
      <c r="V55" s="114">
        <f>'Service model charges'!V42</f>
        <v>0</v>
      </c>
      <c r="W55" s="114">
        <f>'Service model charges'!W42</f>
        <v>0</v>
      </c>
      <c r="X55" s="114">
        <f>'Service model charges'!X42</f>
        <v>0</v>
      </c>
      <c r="Y55" s="114">
        <f>'Service model charges'!Y42</f>
        <v>0</v>
      </c>
    </row>
    <row r="56" spans="3:27" x14ac:dyDescent="0.35">
      <c r="C56" s="78"/>
      <c r="D56"/>
      <c r="F56" s="28" t="s">
        <v>376</v>
      </c>
      <c r="G56" s="28" t="s">
        <v>270</v>
      </c>
      <c r="H56" s="28"/>
      <c r="I56" s="28"/>
      <c r="J56" s="115">
        <f>'Service model charges'!J43</f>
        <v>0</v>
      </c>
      <c r="K56" s="115">
        <f>'Service model charges'!K43</f>
        <v>0</v>
      </c>
      <c r="L56" s="115">
        <f>'Service model charges'!L43</f>
        <v>0</v>
      </c>
      <c r="M56" s="115">
        <f>'Service model charges'!M43</f>
        <v>0</v>
      </c>
      <c r="N56" s="115">
        <f>'Service model charges'!N43</f>
        <v>0</v>
      </c>
      <c r="O56" s="115">
        <f>'Service model charges'!O43</f>
        <v>0</v>
      </c>
      <c r="P56" s="115">
        <f>'Service model charges'!P43</f>
        <v>209.1390454732356</v>
      </c>
      <c r="Q56" s="71"/>
      <c r="R56" s="115">
        <f>'Service model charges'!R43</f>
        <v>0</v>
      </c>
      <c r="S56" s="115">
        <f>'Service model charges'!S43</f>
        <v>0</v>
      </c>
      <c r="T56" s="115">
        <f>'Service model charges'!T43</f>
        <v>0</v>
      </c>
      <c r="U56" s="115">
        <f>'Service model charges'!U43</f>
        <v>0</v>
      </c>
      <c r="V56" s="115">
        <f>'Service model charges'!V43</f>
        <v>0</v>
      </c>
      <c r="W56" s="115">
        <f>'Service model charges'!W43</f>
        <v>0</v>
      </c>
      <c r="X56" s="115">
        <f>'Service model charges'!X43</f>
        <v>416.37953829088679</v>
      </c>
      <c r="Y56" s="115">
        <f>'Service model charges'!Y43</f>
        <v>416.37953829088679</v>
      </c>
    </row>
    <row r="57" spans="3:27" x14ac:dyDescent="0.35">
      <c r="C57" s="78"/>
      <c r="D57"/>
      <c r="F57" s="2"/>
    </row>
    <row r="58" spans="3:27" x14ac:dyDescent="0.35">
      <c r="C58" s="26" t="str">
        <f ca="1">INDEX('Version control'!$H$38:$H$61,MATCH($A$1,'Version control'!$F$38:$F$61,0),1)&amp;"-D: Flags"</f>
        <v>Section 114-D: Flags</v>
      </c>
      <c r="D58" s="26"/>
      <c r="E58" s="26"/>
      <c r="F58" s="26"/>
      <c r="G58" s="26"/>
      <c r="H58" s="26"/>
      <c r="I58" s="26"/>
      <c r="J58" s="26"/>
      <c r="K58" s="26"/>
      <c r="L58" s="26"/>
      <c r="M58" s="26"/>
      <c r="N58" s="26"/>
      <c r="O58" s="26"/>
      <c r="P58" s="26"/>
      <c r="Q58" s="26"/>
      <c r="R58" s="26"/>
      <c r="S58" s="26"/>
      <c r="T58" s="26"/>
      <c r="U58" s="26"/>
      <c r="V58" s="26"/>
      <c r="W58" s="26"/>
      <c r="X58" s="26"/>
      <c r="Y58" s="26"/>
      <c r="Z58" s="26"/>
      <c r="AA58" s="26"/>
    </row>
    <row r="59" spans="3:27" x14ac:dyDescent="0.35">
      <c r="C59" s="27"/>
      <c r="D59"/>
      <c r="E59"/>
    </row>
    <row r="60" spans="3:27" x14ac:dyDescent="0.35">
      <c r="D60" s="24" t="s">
        <v>722</v>
      </c>
      <c r="E60"/>
    </row>
    <row r="61" spans="3:27" x14ac:dyDescent="0.35">
      <c r="D61" s="24" t="s">
        <v>723</v>
      </c>
      <c r="E61"/>
    </row>
    <row r="62" spans="3:27" x14ac:dyDescent="0.35">
      <c r="D62" s="24"/>
      <c r="E62"/>
    </row>
    <row r="63" spans="3:27" x14ac:dyDescent="0.35">
      <c r="E63" t="s">
        <v>724</v>
      </c>
      <c r="G63" t="s">
        <v>149</v>
      </c>
      <c r="I63" t="s">
        <v>154</v>
      </c>
      <c r="J63" s="41">
        <f>'Fixed inputs'!J145</f>
        <v>1</v>
      </c>
      <c r="K63" s="41">
        <f>'Fixed inputs'!K145</f>
        <v>0</v>
      </c>
      <c r="L63" s="41">
        <f>'Fixed inputs'!L145</f>
        <v>1</v>
      </c>
      <c r="M63" s="41">
        <f>'Fixed inputs'!M145</f>
        <v>0</v>
      </c>
      <c r="N63" s="41">
        <f>'Fixed inputs'!N145</f>
        <v>0</v>
      </c>
      <c r="O63" s="41">
        <f>'Fixed inputs'!O145</f>
        <v>0</v>
      </c>
      <c r="P63" s="41">
        <f>'Fixed inputs'!P145</f>
        <v>0</v>
      </c>
      <c r="Q63" s="41">
        <f>'Fixed inputs'!Q145</f>
        <v>0</v>
      </c>
      <c r="R63" s="41">
        <f>'Fixed inputs'!R145</f>
        <v>0</v>
      </c>
      <c r="S63" s="41">
        <f>'Fixed inputs'!S145</f>
        <v>0</v>
      </c>
      <c r="T63" s="41">
        <f>'Fixed inputs'!T145</f>
        <v>0</v>
      </c>
      <c r="U63" s="41">
        <f>'Fixed inputs'!U145</f>
        <v>0</v>
      </c>
      <c r="V63" s="41">
        <f>'Fixed inputs'!V145</f>
        <v>0</v>
      </c>
      <c r="W63" s="41">
        <f>'Fixed inputs'!W145</f>
        <v>0</v>
      </c>
      <c r="X63" s="41">
        <f>'Fixed inputs'!X145</f>
        <v>0</v>
      </c>
      <c r="Y63" s="41">
        <f>'Fixed inputs'!Y145</f>
        <v>0</v>
      </c>
      <c r="AA63" t="s">
        <v>725</v>
      </c>
    </row>
    <row r="65" spans="2:27" x14ac:dyDescent="0.35">
      <c r="B65" s="25" t="s">
        <v>726</v>
      </c>
      <c r="C65" s="25"/>
      <c r="D65" s="25"/>
      <c r="E65" s="25"/>
      <c r="F65" s="25"/>
      <c r="G65" s="25"/>
      <c r="H65" s="25"/>
      <c r="I65" s="25"/>
      <c r="J65" s="25"/>
      <c r="K65" s="25"/>
      <c r="L65" s="25"/>
      <c r="M65" s="25"/>
      <c r="N65" s="25"/>
      <c r="O65" s="25"/>
      <c r="P65" s="25"/>
      <c r="Q65" s="25"/>
      <c r="R65" s="25"/>
      <c r="S65" s="25"/>
      <c r="T65" s="25"/>
      <c r="U65" s="25"/>
      <c r="V65" s="25"/>
      <c r="W65" s="25"/>
      <c r="X65" s="25"/>
      <c r="Y65" s="25"/>
      <c r="Z65" s="25"/>
      <c r="AA65" s="25"/>
    </row>
    <row r="66" spans="2:27" x14ac:dyDescent="0.35">
      <c r="J66" s="79"/>
      <c r="K66" s="79"/>
      <c r="L66" s="79"/>
      <c r="M66" s="79"/>
      <c r="N66" s="79"/>
      <c r="O66" s="79"/>
      <c r="P66" s="79"/>
      <c r="Q66" s="79"/>
      <c r="R66" s="79"/>
      <c r="S66" s="79"/>
      <c r="T66" s="79"/>
      <c r="U66" s="79"/>
      <c r="V66" s="79"/>
      <c r="W66" s="79"/>
      <c r="X66" s="79"/>
      <c r="Y66" s="79"/>
    </row>
    <row r="67" spans="2:27" x14ac:dyDescent="0.35">
      <c r="C67" s="26" t="str">
        <f ca="1">INDEX('Version control'!$H$38:$H$61,MATCH($A$1,'Version control'!$F$38:$F$61,0),1)&amp;"-E: Revenue allocated to fixed charges"</f>
        <v>Section 114-E: Revenue allocated to fixed charges</v>
      </c>
      <c r="D67" s="26"/>
      <c r="E67" s="26"/>
      <c r="F67" s="26"/>
      <c r="G67" s="26"/>
      <c r="H67" s="26"/>
      <c r="I67" s="26"/>
      <c r="J67" s="80"/>
      <c r="K67" s="80"/>
      <c r="L67" s="80"/>
      <c r="M67" s="80"/>
      <c r="N67" s="80"/>
      <c r="O67" s="80"/>
      <c r="P67" s="80"/>
      <c r="Q67" s="80"/>
      <c r="R67" s="80"/>
      <c r="S67" s="80"/>
      <c r="T67" s="80"/>
      <c r="U67" s="80"/>
      <c r="V67" s="80"/>
      <c r="W67" s="80"/>
      <c r="X67" s="80"/>
      <c r="Y67" s="80"/>
      <c r="Z67" s="26"/>
      <c r="AA67" s="26"/>
    </row>
    <row r="68" spans="2:27" x14ac:dyDescent="0.35">
      <c r="D68"/>
      <c r="E68" s="27"/>
      <c r="I68" t="s">
        <v>154</v>
      </c>
      <c r="J68" s="79"/>
      <c r="K68" s="79"/>
      <c r="L68" s="79"/>
      <c r="M68" s="79"/>
      <c r="N68" s="79"/>
      <c r="O68" s="79"/>
      <c r="P68" s="79"/>
      <c r="Q68" s="79"/>
      <c r="R68" s="79"/>
      <c r="S68" s="79"/>
      <c r="T68" s="79"/>
      <c r="U68" s="79"/>
      <c r="V68" s="79"/>
      <c r="W68" s="79"/>
      <c r="X68" s="79"/>
      <c r="Y68" s="79"/>
      <c r="AA68" t="s">
        <v>725</v>
      </c>
    </row>
    <row r="69" spans="2:27" x14ac:dyDescent="0.35">
      <c r="C69" s="78"/>
      <c r="D69"/>
      <c r="E69" s="27" t="s">
        <v>620</v>
      </c>
      <c r="J69" s="79"/>
      <c r="K69" s="79"/>
      <c r="L69" s="79"/>
      <c r="M69" s="79"/>
      <c r="N69" s="79"/>
      <c r="O69" s="79"/>
      <c r="P69" s="79"/>
      <c r="Q69" s="79"/>
      <c r="R69" s="79"/>
      <c r="S69" s="79"/>
      <c r="T69" s="79"/>
      <c r="U69" s="79"/>
      <c r="V69" s="79"/>
      <c r="W69" s="79"/>
      <c r="X69" s="79"/>
      <c r="Y69" s="79"/>
    </row>
    <row r="70" spans="2:27" x14ac:dyDescent="0.35">
      <c r="C70" s="78"/>
      <c r="D70"/>
      <c r="E70" s="24"/>
      <c r="F70" s="19" t="s">
        <v>189</v>
      </c>
      <c r="G70" s="19" t="s">
        <v>727</v>
      </c>
      <c r="H70" s="19"/>
      <c r="I70" s="19"/>
      <c r="J70" s="73"/>
      <c r="K70" s="73"/>
      <c r="L70" s="73"/>
      <c r="M70" s="73"/>
      <c r="N70" s="73"/>
      <c r="O70" s="73"/>
      <c r="P70" s="73"/>
      <c r="Q70" s="73"/>
      <c r="R70" s="73"/>
      <c r="S70" s="73"/>
      <c r="T70" s="73"/>
      <c r="U70" s="73"/>
      <c r="V70" s="73"/>
      <c r="W70" s="73"/>
      <c r="X70" s="73"/>
      <c r="Y70" s="73"/>
    </row>
    <row r="71" spans="2:27" x14ac:dyDescent="0.35">
      <c r="C71" s="78"/>
      <c r="D71"/>
      <c r="E71" s="24"/>
      <c r="F71" t="s">
        <v>191</v>
      </c>
      <c r="G71" t="s">
        <v>727</v>
      </c>
      <c r="J71" s="69"/>
      <c r="K71" s="69"/>
      <c r="L71" s="69"/>
      <c r="M71" s="69"/>
      <c r="N71" s="69"/>
      <c r="O71" s="69"/>
      <c r="P71" s="69"/>
      <c r="Q71" s="69"/>
      <c r="R71" s="69"/>
      <c r="S71" s="69"/>
      <c r="T71" s="69"/>
      <c r="U71" s="69"/>
      <c r="V71" s="69"/>
      <c r="W71" s="69"/>
      <c r="X71" s="69"/>
      <c r="Y71" s="69"/>
    </row>
    <row r="72" spans="2:27" x14ac:dyDescent="0.35">
      <c r="C72" s="78"/>
      <c r="D72"/>
      <c r="E72" s="24"/>
      <c r="F72" t="s">
        <v>192</v>
      </c>
      <c r="G72" t="s">
        <v>727</v>
      </c>
      <c r="J72" s="88">
        <f t="shared" ref="J72:K72" si="0">J$20 * J27 * thousand / PowerFactor</f>
        <v>0</v>
      </c>
      <c r="K72" s="88">
        <f t="shared" si="0"/>
        <v>0</v>
      </c>
      <c r="L72" s="88">
        <f t="shared" ref="L72:M72" si="1">L$20 * L27 * thousand / PowerFactor</f>
        <v>0</v>
      </c>
      <c r="M72" s="88">
        <f t="shared" si="1"/>
        <v>0</v>
      </c>
      <c r="N72" s="88">
        <f t="shared" ref="N72:P72" si="2">N$20 * N27 * thousand / PowerFactor</f>
        <v>0</v>
      </c>
      <c r="O72" s="88">
        <f t="shared" si="2"/>
        <v>0</v>
      </c>
      <c r="P72" s="88">
        <f t="shared" si="2"/>
        <v>0</v>
      </c>
      <c r="Q72" s="88">
        <f t="shared" ref="Q72:S72" si="3">Q$20 * Q27 * thousand / PowerFactor</f>
        <v>0</v>
      </c>
      <c r="R72" s="88">
        <f t="shared" si="3"/>
        <v>0</v>
      </c>
      <c r="S72" s="88">
        <f t="shared" si="3"/>
        <v>0</v>
      </c>
      <c r="T72" s="88">
        <f t="shared" ref="T72:U72" si="4">T$20 * T27 * thousand / PowerFactor</f>
        <v>0</v>
      </c>
      <c r="U72" s="88">
        <f t="shared" si="4"/>
        <v>0</v>
      </c>
      <c r="V72" s="88">
        <f t="shared" ref="V72:W72" si="5">V$20 * V27 * thousand / PowerFactor</f>
        <v>0</v>
      </c>
      <c r="W72" s="88">
        <f t="shared" si="5"/>
        <v>0</v>
      </c>
      <c r="X72" s="88">
        <f t="shared" ref="X72:Y72" si="6">X$20 * X27 * thousand / PowerFactor</f>
        <v>0</v>
      </c>
      <c r="Y72" s="88">
        <f t="shared" si="6"/>
        <v>0</v>
      </c>
    </row>
    <row r="73" spans="2:27" x14ac:dyDescent="0.35">
      <c r="C73" s="78"/>
      <c r="D73"/>
      <c r="E73" s="24"/>
      <c r="F73" t="s">
        <v>193</v>
      </c>
      <c r="G73" t="s">
        <v>727</v>
      </c>
      <c r="J73" s="88">
        <f t="shared" ref="J73:K73" si="7">J$20 * J28 * thousand / PowerFactor</f>
        <v>0</v>
      </c>
      <c r="K73" s="88">
        <f t="shared" si="7"/>
        <v>0</v>
      </c>
      <c r="L73" s="88">
        <f t="shared" ref="L73:M73" si="8">L$20 * L28 * thousand / PowerFactor</f>
        <v>0</v>
      </c>
      <c r="M73" s="88">
        <f t="shared" si="8"/>
        <v>0</v>
      </c>
      <c r="N73" s="88">
        <f t="shared" ref="N73:P73" si="9">N$20 * N28 * thousand / PowerFactor</f>
        <v>0</v>
      </c>
      <c r="O73" s="88">
        <f t="shared" si="9"/>
        <v>0</v>
      </c>
      <c r="P73" s="88">
        <f t="shared" si="9"/>
        <v>0</v>
      </c>
      <c r="Q73" s="88">
        <f t="shared" ref="Q73:S73" si="10">Q$20 * Q28 * thousand / PowerFactor</f>
        <v>0</v>
      </c>
      <c r="R73" s="88">
        <f t="shared" si="10"/>
        <v>0</v>
      </c>
      <c r="S73" s="88">
        <f t="shared" si="10"/>
        <v>0</v>
      </c>
      <c r="T73" s="88">
        <f t="shared" ref="T73:U73" si="11">T$20 * T28 * thousand / PowerFactor</f>
        <v>0</v>
      </c>
      <c r="U73" s="88">
        <f t="shared" si="11"/>
        <v>0</v>
      </c>
      <c r="V73" s="88">
        <f t="shared" ref="V73:W73" si="12">V$20 * V28 * thousand / PowerFactor</f>
        <v>0</v>
      </c>
      <c r="W73" s="88">
        <f t="shared" si="12"/>
        <v>0</v>
      </c>
      <c r="X73" s="88">
        <f t="shared" ref="X73:Y73" si="13">X$20 * X28 * thousand / PowerFactor</f>
        <v>0</v>
      </c>
      <c r="Y73" s="88">
        <f t="shared" si="13"/>
        <v>0</v>
      </c>
    </row>
    <row r="74" spans="2:27" x14ac:dyDescent="0.35">
      <c r="C74" s="78"/>
      <c r="D74"/>
      <c r="E74" s="24"/>
      <c r="F74" t="s">
        <v>194</v>
      </c>
      <c r="G74" t="s">
        <v>727</v>
      </c>
      <c r="J74" s="88">
        <f t="shared" ref="J74:K74" si="14">J$20 * J29 * thousand / PowerFactor</f>
        <v>0</v>
      </c>
      <c r="K74" s="88">
        <f t="shared" si="14"/>
        <v>0</v>
      </c>
      <c r="L74" s="88">
        <f t="shared" ref="L74:M74" si="15">L$20 * L29 * thousand / PowerFactor</f>
        <v>0</v>
      </c>
      <c r="M74" s="88">
        <f t="shared" si="15"/>
        <v>0</v>
      </c>
      <c r="N74" s="88">
        <f t="shared" ref="N74:P74" si="16">N$20 * N29 * thousand / PowerFactor</f>
        <v>0</v>
      </c>
      <c r="O74" s="88">
        <f t="shared" si="16"/>
        <v>0</v>
      </c>
      <c r="P74" s="88">
        <f t="shared" si="16"/>
        <v>0</v>
      </c>
      <c r="Q74" s="88">
        <f t="shared" ref="Q74:S74" si="17">Q$20 * Q29 * thousand / PowerFactor</f>
        <v>0</v>
      </c>
      <c r="R74" s="88">
        <f t="shared" si="17"/>
        <v>0</v>
      </c>
      <c r="S74" s="88">
        <f t="shared" si="17"/>
        <v>0</v>
      </c>
      <c r="T74" s="88">
        <f t="shared" ref="T74:U74" si="18">T$20 * T29 * thousand / PowerFactor</f>
        <v>0</v>
      </c>
      <c r="U74" s="88">
        <f t="shared" si="18"/>
        <v>0</v>
      </c>
      <c r="V74" s="88">
        <f t="shared" ref="V74:W74" si="19">V$20 * V29 * thousand / PowerFactor</f>
        <v>0</v>
      </c>
      <c r="W74" s="88">
        <f t="shared" si="19"/>
        <v>0</v>
      </c>
      <c r="X74" s="88">
        <f t="shared" ref="X74:Y74" si="20">X$20 * X29 * thousand / PowerFactor</f>
        <v>0</v>
      </c>
      <c r="Y74" s="88">
        <f t="shared" si="20"/>
        <v>0</v>
      </c>
    </row>
    <row r="75" spans="2:27" x14ac:dyDescent="0.35">
      <c r="C75" s="78"/>
      <c r="D75"/>
      <c r="E75" s="24"/>
      <c r="F75" t="s">
        <v>195</v>
      </c>
      <c r="G75" t="s">
        <v>727</v>
      </c>
      <c r="J75" s="88">
        <f t="shared" ref="J75:K75" si="21">J$20 * J30 * thousand / PowerFactor</f>
        <v>0</v>
      </c>
      <c r="K75" s="88">
        <f t="shared" si="21"/>
        <v>0</v>
      </c>
      <c r="L75" s="88">
        <f t="shared" ref="L75:M75" si="22">L$20 * L30 * thousand / PowerFactor</f>
        <v>0</v>
      </c>
      <c r="M75" s="88">
        <f t="shared" si="22"/>
        <v>0</v>
      </c>
      <c r="N75" s="88">
        <f t="shared" ref="N75:P75" si="23">N$20 * N30 * thousand / PowerFactor</f>
        <v>0</v>
      </c>
      <c r="O75" s="88">
        <f t="shared" si="23"/>
        <v>0</v>
      </c>
      <c r="P75" s="88">
        <f t="shared" si="23"/>
        <v>0</v>
      </c>
      <c r="Q75" s="88">
        <f t="shared" ref="Q75:S75" si="24">Q$20 * Q30 * thousand / PowerFactor</f>
        <v>0</v>
      </c>
      <c r="R75" s="88">
        <f t="shared" si="24"/>
        <v>0</v>
      </c>
      <c r="S75" s="88">
        <f t="shared" si="24"/>
        <v>0</v>
      </c>
      <c r="T75" s="88">
        <f t="shared" ref="T75:U75" si="25">T$20 * T30 * thousand / PowerFactor</f>
        <v>0</v>
      </c>
      <c r="U75" s="88">
        <f t="shared" si="25"/>
        <v>0</v>
      </c>
      <c r="V75" s="88">
        <f t="shared" ref="V75:W75" si="26">V$20 * V30 * thousand / PowerFactor</f>
        <v>0</v>
      </c>
      <c r="W75" s="88">
        <f t="shared" si="26"/>
        <v>0</v>
      </c>
      <c r="X75" s="88">
        <f t="shared" ref="X75:Y75" si="27">X$20 * X30 * thousand / PowerFactor</f>
        <v>0</v>
      </c>
      <c r="Y75" s="88">
        <f t="shared" si="27"/>
        <v>0</v>
      </c>
    </row>
    <row r="76" spans="2:27" x14ac:dyDescent="0.35">
      <c r="C76" s="78"/>
      <c r="D76"/>
      <c r="E76" s="24"/>
      <c r="F76" t="s">
        <v>196</v>
      </c>
      <c r="G76" t="s">
        <v>727</v>
      </c>
      <c r="J76" s="88">
        <f t="shared" ref="J76:K76" si="28">J$20 * J31 * thousand / PowerFactor</f>
        <v>0</v>
      </c>
      <c r="K76" s="88">
        <f t="shared" si="28"/>
        <v>0</v>
      </c>
      <c r="L76" s="88">
        <f t="shared" ref="L76:M76" si="29">L$20 * L31 * thousand / PowerFactor</f>
        <v>0</v>
      </c>
      <c r="M76" s="88">
        <f t="shared" si="29"/>
        <v>0</v>
      </c>
      <c r="N76" s="88">
        <f t="shared" ref="N76:P76" si="30">N$20 * N31 * thousand / PowerFactor</f>
        <v>0</v>
      </c>
      <c r="O76" s="88">
        <f t="shared" si="30"/>
        <v>0</v>
      </c>
      <c r="P76" s="88">
        <f t="shared" si="30"/>
        <v>0</v>
      </c>
      <c r="Q76" s="88">
        <f t="shared" ref="Q76:S76" si="31">Q$20 * Q31 * thousand / PowerFactor</f>
        <v>0</v>
      </c>
      <c r="R76" s="88">
        <f t="shared" si="31"/>
        <v>0</v>
      </c>
      <c r="S76" s="88">
        <f t="shared" si="31"/>
        <v>0</v>
      </c>
      <c r="T76" s="88">
        <f t="shared" ref="T76:U76" si="32">T$20 * T31 * thousand / PowerFactor</f>
        <v>0</v>
      </c>
      <c r="U76" s="88">
        <f t="shared" si="32"/>
        <v>0</v>
      </c>
      <c r="V76" s="88">
        <f t="shared" ref="V76:W76" si="33">V$20 * V31 * thousand / PowerFactor</f>
        <v>0</v>
      </c>
      <c r="W76" s="88">
        <f t="shared" si="33"/>
        <v>0</v>
      </c>
      <c r="X76" s="88">
        <f t="shared" ref="X76:Y76" si="34">X$20 * X31 * thousand / PowerFactor</f>
        <v>0</v>
      </c>
      <c r="Y76" s="88">
        <f t="shared" si="34"/>
        <v>0</v>
      </c>
    </row>
    <row r="77" spans="2:27" x14ac:dyDescent="0.35">
      <c r="C77" s="78"/>
      <c r="D77"/>
      <c r="E77" s="24"/>
      <c r="F77" t="s">
        <v>197</v>
      </c>
      <c r="G77" t="s">
        <v>727</v>
      </c>
      <c r="J77" s="88">
        <f t="shared" ref="J77:K77" si="35">J$20 * J32 * thousand / PowerFactor</f>
        <v>0</v>
      </c>
      <c r="K77" s="88">
        <f t="shared" si="35"/>
        <v>0</v>
      </c>
      <c r="L77" s="88">
        <f t="shared" ref="L77:M77" si="36">L$20 * L32 * thousand / PowerFactor</f>
        <v>0</v>
      </c>
      <c r="M77" s="88">
        <f t="shared" si="36"/>
        <v>0</v>
      </c>
      <c r="N77" s="88">
        <f t="shared" ref="N77:P77" si="37">N$20 * N32 * thousand / PowerFactor</f>
        <v>0</v>
      </c>
      <c r="O77" s="88">
        <f t="shared" si="37"/>
        <v>0</v>
      </c>
      <c r="P77" s="88">
        <f t="shared" si="37"/>
        <v>0</v>
      </c>
      <c r="Q77" s="88">
        <f t="shared" ref="Q77:S77" si="38">Q$20 * Q32 * thousand / PowerFactor</f>
        <v>0</v>
      </c>
      <c r="R77" s="88">
        <f t="shared" si="38"/>
        <v>0</v>
      </c>
      <c r="S77" s="88">
        <f t="shared" si="38"/>
        <v>0</v>
      </c>
      <c r="T77" s="88">
        <f t="shared" ref="T77:U77" si="39">T$20 * T32 * thousand / PowerFactor</f>
        <v>0</v>
      </c>
      <c r="U77" s="88">
        <f t="shared" si="39"/>
        <v>0</v>
      </c>
      <c r="V77" s="88">
        <f t="shared" ref="V77:W77" si="40">V$20 * V32 * thousand / PowerFactor</f>
        <v>0</v>
      </c>
      <c r="W77" s="88">
        <f t="shared" si="40"/>
        <v>0</v>
      </c>
      <c r="X77" s="88">
        <f t="shared" ref="X77:Y77" si="41">X$20 * X32 * thousand / PowerFactor</f>
        <v>0</v>
      </c>
      <c r="Y77" s="88">
        <f t="shared" si="41"/>
        <v>0</v>
      </c>
    </row>
    <row r="78" spans="2:27" x14ac:dyDescent="0.35">
      <c r="C78" s="78"/>
      <c r="D78"/>
      <c r="E78" s="24"/>
      <c r="F78" t="s">
        <v>198</v>
      </c>
      <c r="G78" t="s">
        <v>727</v>
      </c>
      <c r="J78" s="88">
        <f t="shared" ref="J78:K78" si="42">J$20 * J33 * thousand / PowerFactor</f>
        <v>0</v>
      </c>
      <c r="K78" s="88">
        <f t="shared" si="42"/>
        <v>0</v>
      </c>
      <c r="L78" s="88">
        <f t="shared" ref="L78:M78" si="43">L$20 * L33 * thousand / PowerFactor</f>
        <v>0</v>
      </c>
      <c r="M78" s="88">
        <f t="shared" si="43"/>
        <v>0</v>
      </c>
      <c r="N78" s="88">
        <f t="shared" ref="N78:P78" si="44">N$20 * N33 * thousand / PowerFactor</f>
        <v>0</v>
      </c>
      <c r="O78" s="88">
        <f t="shared" si="44"/>
        <v>0</v>
      </c>
      <c r="P78" s="88">
        <f t="shared" si="44"/>
        <v>0</v>
      </c>
      <c r="Q78" s="88">
        <f t="shared" ref="Q78:S78" si="45">Q$20 * Q33 * thousand / PowerFactor</f>
        <v>0</v>
      </c>
      <c r="R78" s="88">
        <f t="shared" si="45"/>
        <v>0</v>
      </c>
      <c r="S78" s="88">
        <f t="shared" si="45"/>
        <v>0</v>
      </c>
      <c r="T78" s="88">
        <f t="shared" ref="T78:U78" si="46">T$20 * T33 * thousand / PowerFactor</f>
        <v>0</v>
      </c>
      <c r="U78" s="88">
        <f t="shared" si="46"/>
        <v>0</v>
      </c>
      <c r="V78" s="88">
        <f t="shared" ref="V78:W78" si="47">V$20 * V33 * thousand / PowerFactor</f>
        <v>0</v>
      </c>
      <c r="W78" s="88">
        <f t="shared" si="47"/>
        <v>0</v>
      </c>
      <c r="X78" s="88">
        <f t="shared" ref="X78:Y78" si="48">X$20 * X33 * thousand / PowerFactor</f>
        <v>0</v>
      </c>
      <c r="Y78" s="88">
        <f t="shared" si="48"/>
        <v>0</v>
      </c>
    </row>
    <row r="79" spans="2:27" x14ac:dyDescent="0.35">
      <c r="C79" s="78"/>
      <c r="D79"/>
      <c r="E79" s="24"/>
      <c r="F79" t="s">
        <v>199</v>
      </c>
      <c r="G79" t="s">
        <v>727</v>
      </c>
      <c r="J79" s="88">
        <f t="shared" ref="J79:K79" si="49">J$20 * J34 * thousand / PowerFactor</f>
        <v>275668.39625799743</v>
      </c>
      <c r="K79" s="88">
        <f t="shared" si="49"/>
        <v>0</v>
      </c>
      <c r="L79" s="88">
        <f t="shared" ref="L79:M79" si="50">L$20 * L34 * thousand / PowerFactor</f>
        <v>97018.369951109737</v>
      </c>
      <c r="M79" s="88">
        <f t="shared" si="50"/>
        <v>0</v>
      </c>
      <c r="N79" s="88">
        <f t="shared" ref="N79:P79" si="51">N$20 * N34 * thousand / PowerFactor</f>
        <v>0</v>
      </c>
      <c r="O79" s="88">
        <f t="shared" si="51"/>
        <v>0</v>
      </c>
      <c r="P79" s="88">
        <f t="shared" si="51"/>
        <v>0</v>
      </c>
      <c r="Q79" s="88">
        <f t="shared" ref="Q79:S79" si="52">Q$20 * Q34 * thousand / PowerFactor</f>
        <v>0</v>
      </c>
      <c r="R79" s="88">
        <f t="shared" si="52"/>
        <v>0</v>
      </c>
      <c r="S79" s="88">
        <f t="shared" si="52"/>
        <v>0</v>
      </c>
      <c r="T79" s="88">
        <f t="shared" ref="T79:U79" si="53">T$20 * T34 * thousand / PowerFactor</f>
        <v>0</v>
      </c>
      <c r="U79" s="88">
        <f t="shared" si="53"/>
        <v>0</v>
      </c>
      <c r="V79" s="88">
        <f t="shared" ref="V79:W79" si="54">V$20 * V34 * thousand / PowerFactor</f>
        <v>0</v>
      </c>
      <c r="W79" s="88">
        <f t="shared" si="54"/>
        <v>0</v>
      </c>
      <c r="X79" s="88">
        <f t="shared" ref="X79:Y79" si="55">X$20 * X34 * thousand / PowerFactor</f>
        <v>0</v>
      </c>
      <c r="Y79" s="88">
        <f t="shared" si="55"/>
        <v>0</v>
      </c>
    </row>
    <row r="80" spans="2:27" x14ac:dyDescent="0.35">
      <c r="C80" s="78"/>
      <c r="D80"/>
      <c r="E80" s="24"/>
      <c r="F80" t="s">
        <v>375</v>
      </c>
      <c r="G80" t="s">
        <v>727</v>
      </c>
      <c r="J80" s="69"/>
      <c r="K80" s="69"/>
      <c r="L80" s="69"/>
      <c r="M80" s="69"/>
      <c r="N80" s="69"/>
      <c r="O80" s="69"/>
      <c r="P80" s="69"/>
      <c r="Q80" s="69"/>
      <c r="R80" s="69"/>
      <c r="S80" s="69"/>
      <c r="T80" s="69"/>
      <c r="U80" s="69"/>
      <c r="V80" s="69"/>
      <c r="W80" s="69"/>
      <c r="X80" s="69"/>
      <c r="Y80" s="69"/>
    </row>
    <row r="81" spans="3:25" x14ac:dyDescent="0.35">
      <c r="C81" s="78"/>
      <c r="D81"/>
      <c r="E81" s="24"/>
      <c r="F81" s="28" t="s">
        <v>376</v>
      </c>
      <c r="G81" s="28" t="s">
        <v>727</v>
      </c>
      <c r="H81" s="28"/>
      <c r="I81" s="28"/>
      <c r="J81" s="71"/>
      <c r="K81" s="71"/>
      <c r="L81" s="71"/>
      <c r="M81" s="71"/>
      <c r="N81" s="71"/>
      <c r="O81" s="71"/>
      <c r="P81" s="71"/>
      <c r="Q81" s="71"/>
      <c r="R81" s="71"/>
      <c r="S81" s="71"/>
      <c r="T81" s="71"/>
      <c r="U81" s="71"/>
      <c r="V81" s="71"/>
      <c r="W81" s="71"/>
      <c r="X81" s="71"/>
      <c r="Y81" s="71"/>
    </row>
    <row r="82" spans="3:25" x14ac:dyDescent="0.35">
      <c r="C82" s="78"/>
      <c r="D82"/>
      <c r="E82" s="24"/>
      <c r="J82" s="79"/>
      <c r="K82" s="79"/>
      <c r="L82" s="79"/>
      <c r="M82" s="79"/>
      <c r="N82" s="79"/>
      <c r="O82" s="79"/>
      <c r="P82" s="79"/>
      <c r="Q82" s="79"/>
      <c r="R82" s="79"/>
      <c r="S82" s="79"/>
      <c r="T82" s="79"/>
      <c r="U82" s="79"/>
      <c r="V82" s="79"/>
      <c r="W82" s="79"/>
      <c r="X82" s="79"/>
      <c r="Y82" s="79"/>
    </row>
    <row r="83" spans="3:25" x14ac:dyDescent="0.35">
      <c r="C83" s="78"/>
      <c r="D83"/>
      <c r="E83" s="27" t="s">
        <v>621</v>
      </c>
      <c r="J83" s="79"/>
      <c r="K83" s="79"/>
      <c r="L83" s="79"/>
      <c r="M83" s="79"/>
      <c r="N83" s="79"/>
      <c r="O83" s="79"/>
      <c r="P83" s="79"/>
      <c r="Q83" s="79"/>
      <c r="R83" s="79"/>
      <c r="S83" s="79"/>
      <c r="T83" s="79"/>
      <c r="U83" s="79"/>
      <c r="V83" s="79"/>
      <c r="W83" s="79"/>
      <c r="X83" s="79"/>
      <c r="Y83" s="79"/>
    </row>
    <row r="84" spans="3:25" x14ac:dyDescent="0.35">
      <c r="C84" s="78"/>
      <c r="D84"/>
      <c r="F84" s="19" t="s">
        <v>189</v>
      </c>
      <c r="G84" s="19" t="s">
        <v>727</v>
      </c>
      <c r="H84" s="19"/>
      <c r="I84" s="19"/>
      <c r="J84" s="116">
        <f t="shared" ref="J84:K84" si="56">J$20 * J39 * thousand / PowerFactor</f>
        <v>0</v>
      </c>
      <c r="K84" s="116">
        <f t="shared" si="56"/>
        <v>0</v>
      </c>
      <c r="L84" s="116">
        <f t="shared" ref="L84:M84" si="57">L$20 * L39 * thousand / PowerFactor</f>
        <v>0</v>
      </c>
      <c r="M84" s="116">
        <f t="shared" si="57"/>
        <v>0</v>
      </c>
      <c r="N84" s="116">
        <f t="shared" ref="N84:P84" si="58">N$20 * N39 * thousand / PowerFactor</f>
        <v>0</v>
      </c>
      <c r="O84" s="116">
        <f t="shared" si="58"/>
        <v>0</v>
      </c>
      <c r="P84" s="116">
        <f t="shared" si="58"/>
        <v>0</v>
      </c>
      <c r="Q84" s="116">
        <f t="shared" ref="Q84:S84" si="59">Q$20 * Q39 * thousand / PowerFactor</f>
        <v>0</v>
      </c>
      <c r="R84" s="116">
        <f t="shared" si="59"/>
        <v>0</v>
      </c>
      <c r="S84" s="116">
        <f t="shared" si="59"/>
        <v>0</v>
      </c>
      <c r="T84" s="116">
        <f t="shared" ref="T84:U84" si="60">T$20 * T39 * thousand / PowerFactor</f>
        <v>0</v>
      </c>
      <c r="U84" s="116">
        <f t="shared" si="60"/>
        <v>0</v>
      </c>
      <c r="V84" s="116">
        <f t="shared" ref="V84:W84" si="61">V$20 * V39 * thousand / PowerFactor</f>
        <v>0</v>
      </c>
      <c r="W84" s="116">
        <f t="shared" si="61"/>
        <v>0</v>
      </c>
      <c r="X84" s="116">
        <f t="shared" ref="X84:Y84" si="62">X$20 * X39 * thousand / PowerFactor</f>
        <v>0</v>
      </c>
      <c r="Y84" s="116">
        <f t="shared" si="62"/>
        <v>0</v>
      </c>
    </row>
    <row r="85" spans="3:25" x14ac:dyDescent="0.35">
      <c r="C85" s="78"/>
      <c r="D85"/>
      <c r="F85" t="s">
        <v>191</v>
      </c>
      <c r="G85" t="s">
        <v>727</v>
      </c>
      <c r="J85" s="88">
        <f t="shared" ref="J85:K85" si="63">J$20 * J40 * thousand / PowerFactor</f>
        <v>0</v>
      </c>
      <c r="K85" s="88">
        <f t="shared" si="63"/>
        <v>0</v>
      </c>
      <c r="L85" s="88">
        <f t="shared" ref="L85:M85" si="64">L$20 * L40 * thousand / PowerFactor</f>
        <v>0</v>
      </c>
      <c r="M85" s="88">
        <f t="shared" si="64"/>
        <v>0</v>
      </c>
      <c r="N85" s="88">
        <f t="shared" ref="N85:P85" si="65">N$20 * N40 * thousand / PowerFactor</f>
        <v>0</v>
      </c>
      <c r="O85" s="88">
        <f t="shared" si="65"/>
        <v>0</v>
      </c>
      <c r="P85" s="88">
        <f t="shared" si="65"/>
        <v>0</v>
      </c>
      <c r="Q85" s="88">
        <f t="shared" ref="Q85:S85" si="66">Q$20 * Q40 * thousand / PowerFactor</f>
        <v>0</v>
      </c>
      <c r="R85" s="88">
        <f t="shared" si="66"/>
        <v>0</v>
      </c>
      <c r="S85" s="88">
        <f t="shared" si="66"/>
        <v>0</v>
      </c>
      <c r="T85" s="88">
        <f t="shared" ref="T85:U85" si="67">T$20 * T40 * thousand / PowerFactor</f>
        <v>0</v>
      </c>
      <c r="U85" s="88">
        <f t="shared" si="67"/>
        <v>0</v>
      </c>
      <c r="V85" s="88">
        <f t="shared" ref="V85:W85" si="68">V$20 * V40 * thousand / PowerFactor</f>
        <v>0</v>
      </c>
      <c r="W85" s="88">
        <f t="shared" si="68"/>
        <v>0</v>
      </c>
      <c r="X85" s="88">
        <f t="shared" ref="X85:Y85" si="69">X$20 * X40 * thousand / PowerFactor</f>
        <v>0</v>
      </c>
      <c r="Y85" s="88">
        <f t="shared" si="69"/>
        <v>0</v>
      </c>
    </row>
    <row r="86" spans="3:25" x14ac:dyDescent="0.35">
      <c r="C86" s="78"/>
      <c r="D86"/>
      <c r="F86" t="s">
        <v>192</v>
      </c>
      <c r="G86" t="s">
        <v>727</v>
      </c>
      <c r="J86" s="88">
        <f t="shared" ref="J86:K86" si="70">J$20 * J41 * thousand / PowerFactor</f>
        <v>0</v>
      </c>
      <c r="K86" s="88">
        <f t="shared" si="70"/>
        <v>0</v>
      </c>
      <c r="L86" s="88">
        <f t="shared" ref="L86:M86" si="71">L$20 * L41 * thousand / PowerFactor</f>
        <v>0</v>
      </c>
      <c r="M86" s="88">
        <f t="shared" si="71"/>
        <v>0</v>
      </c>
      <c r="N86" s="88">
        <f t="shared" ref="N86:P86" si="72">N$20 * N41 * thousand / PowerFactor</f>
        <v>0</v>
      </c>
      <c r="O86" s="88">
        <f t="shared" si="72"/>
        <v>0</v>
      </c>
      <c r="P86" s="88">
        <f t="shared" si="72"/>
        <v>0</v>
      </c>
      <c r="Q86" s="88">
        <f t="shared" ref="Q86:S86" si="73">Q$20 * Q41 * thousand / PowerFactor</f>
        <v>0</v>
      </c>
      <c r="R86" s="88">
        <f t="shared" si="73"/>
        <v>0</v>
      </c>
      <c r="S86" s="88">
        <f t="shared" si="73"/>
        <v>0</v>
      </c>
      <c r="T86" s="88">
        <f t="shared" ref="T86:U86" si="74">T$20 * T41 * thousand / PowerFactor</f>
        <v>0</v>
      </c>
      <c r="U86" s="88">
        <f t="shared" si="74"/>
        <v>0</v>
      </c>
      <c r="V86" s="88">
        <f t="shared" ref="V86:W86" si="75">V$20 * V41 * thousand / PowerFactor</f>
        <v>0</v>
      </c>
      <c r="W86" s="88">
        <f t="shared" si="75"/>
        <v>0</v>
      </c>
      <c r="X86" s="88">
        <f t="shared" ref="X86:Y86" si="76">X$20 * X41 * thousand / PowerFactor</f>
        <v>0</v>
      </c>
      <c r="Y86" s="88">
        <f t="shared" si="76"/>
        <v>0</v>
      </c>
    </row>
    <row r="87" spans="3:25" x14ac:dyDescent="0.35">
      <c r="C87" s="78"/>
      <c r="D87"/>
      <c r="F87" t="s">
        <v>193</v>
      </c>
      <c r="G87" t="s">
        <v>727</v>
      </c>
      <c r="J87" s="88">
        <f t="shared" ref="J87:K87" si="77">J$20 * J42 * thousand / PowerFactor</f>
        <v>0</v>
      </c>
      <c r="K87" s="88">
        <f t="shared" si="77"/>
        <v>0</v>
      </c>
      <c r="L87" s="88">
        <f t="shared" ref="L87:M87" si="78">L$20 * L42 * thousand / PowerFactor</f>
        <v>0</v>
      </c>
      <c r="M87" s="88">
        <f t="shared" si="78"/>
        <v>0</v>
      </c>
      <c r="N87" s="88">
        <f t="shared" ref="N87:P87" si="79">N$20 * N42 * thousand / PowerFactor</f>
        <v>0</v>
      </c>
      <c r="O87" s="88">
        <f t="shared" si="79"/>
        <v>0</v>
      </c>
      <c r="P87" s="88">
        <f t="shared" si="79"/>
        <v>0</v>
      </c>
      <c r="Q87" s="88">
        <f t="shared" ref="Q87:S87" si="80">Q$20 * Q42 * thousand / PowerFactor</f>
        <v>0</v>
      </c>
      <c r="R87" s="88">
        <f t="shared" si="80"/>
        <v>0</v>
      </c>
      <c r="S87" s="88">
        <f t="shared" si="80"/>
        <v>0</v>
      </c>
      <c r="T87" s="88">
        <f t="shared" ref="T87:U87" si="81">T$20 * T42 * thousand / PowerFactor</f>
        <v>0</v>
      </c>
      <c r="U87" s="88">
        <f t="shared" si="81"/>
        <v>0</v>
      </c>
      <c r="V87" s="88">
        <f t="shared" ref="V87:W87" si="82">V$20 * V42 * thousand / PowerFactor</f>
        <v>0</v>
      </c>
      <c r="W87" s="88">
        <f t="shared" si="82"/>
        <v>0</v>
      </c>
      <c r="X87" s="88">
        <f t="shared" ref="X87:Y87" si="83">X$20 * X42 * thousand / PowerFactor</f>
        <v>0</v>
      </c>
      <c r="Y87" s="88">
        <f t="shared" si="83"/>
        <v>0</v>
      </c>
    </row>
    <row r="88" spans="3:25" x14ac:dyDescent="0.35">
      <c r="C88" s="78"/>
      <c r="D88"/>
      <c r="F88" t="s">
        <v>194</v>
      </c>
      <c r="G88" t="s">
        <v>727</v>
      </c>
      <c r="J88" s="88">
        <f t="shared" ref="J88:K88" si="84">J$20 * J43 * thousand / PowerFactor</f>
        <v>0</v>
      </c>
      <c r="K88" s="88">
        <f t="shared" si="84"/>
        <v>0</v>
      </c>
      <c r="L88" s="88">
        <f t="shared" ref="L88:M88" si="85">L$20 * L43 * thousand / PowerFactor</f>
        <v>0</v>
      </c>
      <c r="M88" s="88">
        <f t="shared" si="85"/>
        <v>0</v>
      </c>
      <c r="N88" s="88">
        <f t="shared" ref="N88:P88" si="86">N$20 * N43 * thousand / PowerFactor</f>
        <v>0</v>
      </c>
      <c r="O88" s="88">
        <f t="shared" si="86"/>
        <v>0</v>
      </c>
      <c r="P88" s="88">
        <f t="shared" si="86"/>
        <v>0</v>
      </c>
      <c r="Q88" s="88">
        <f t="shared" ref="Q88:S88" si="87">Q$20 * Q43 * thousand / PowerFactor</f>
        <v>0</v>
      </c>
      <c r="R88" s="88">
        <f t="shared" si="87"/>
        <v>0</v>
      </c>
      <c r="S88" s="88">
        <f t="shared" si="87"/>
        <v>0</v>
      </c>
      <c r="T88" s="88">
        <f t="shared" ref="T88:U88" si="88">T$20 * T43 * thousand / PowerFactor</f>
        <v>0</v>
      </c>
      <c r="U88" s="88">
        <f t="shared" si="88"/>
        <v>0</v>
      </c>
      <c r="V88" s="88">
        <f t="shared" ref="V88:W88" si="89">V$20 * V43 * thousand / PowerFactor</f>
        <v>0</v>
      </c>
      <c r="W88" s="88">
        <f t="shared" si="89"/>
        <v>0</v>
      </c>
      <c r="X88" s="88">
        <f t="shared" ref="X88:Y88" si="90">X$20 * X43 * thousand / PowerFactor</f>
        <v>0</v>
      </c>
      <c r="Y88" s="88">
        <f t="shared" si="90"/>
        <v>0</v>
      </c>
    </row>
    <row r="89" spans="3:25" x14ac:dyDescent="0.35">
      <c r="C89" s="78"/>
      <c r="D89"/>
      <c r="F89" t="s">
        <v>195</v>
      </c>
      <c r="G89" t="s">
        <v>727</v>
      </c>
      <c r="J89" s="88">
        <f t="shared" ref="J89:K89" si="91">J$20 * J44 * thousand / PowerFactor</f>
        <v>0</v>
      </c>
      <c r="K89" s="88">
        <f t="shared" si="91"/>
        <v>0</v>
      </c>
      <c r="L89" s="88">
        <f t="shared" ref="L89:M89" si="92">L$20 * L44 * thousand / PowerFactor</f>
        <v>0</v>
      </c>
      <c r="M89" s="88">
        <f t="shared" si="92"/>
        <v>0</v>
      </c>
      <c r="N89" s="88">
        <f t="shared" ref="N89:P89" si="93">N$20 * N44 * thousand / PowerFactor</f>
        <v>0</v>
      </c>
      <c r="O89" s="88">
        <f t="shared" si="93"/>
        <v>0</v>
      </c>
      <c r="P89" s="88">
        <f t="shared" si="93"/>
        <v>0</v>
      </c>
      <c r="Q89" s="88">
        <f t="shared" ref="Q89:S89" si="94">Q$20 * Q44 * thousand / PowerFactor</f>
        <v>0</v>
      </c>
      <c r="R89" s="88">
        <f t="shared" si="94"/>
        <v>0</v>
      </c>
      <c r="S89" s="88">
        <f t="shared" si="94"/>
        <v>0</v>
      </c>
      <c r="T89" s="88">
        <f t="shared" ref="T89:U89" si="95">T$20 * T44 * thousand / PowerFactor</f>
        <v>0</v>
      </c>
      <c r="U89" s="88">
        <f t="shared" si="95"/>
        <v>0</v>
      </c>
      <c r="V89" s="88">
        <f t="shared" ref="V89:W89" si="96">V$20 * V44 * thousand / PowerFactor</f>
        <v>0</v>
      </c>
      <c r="W89" s="88">
        <f t="shared" si="96"/>
        <v>0</v>
      </c>
      <c r="X89" s="88">
        <f t="shared" ref="X89:Y89" si="97">X$20 * X44 * thousand / PowerFactor</f>
        <v>0</v>
      </c>
      <c r="Y89" s="88">
        <f t="shared" si="97"/>
        <v>0</v>
      </c>
    </row>
    <row r="90" spans="3:25" x14ac:dyDescent="0.35">
      <c r="C90" s="78"/>
      <c r="D90"/>
      <c r="F90" t="s">
        <v>196</v>
      </c>
      <c r="G90" t="s">
        <v>727</v>
      </c>
      <c r="J90" s="88">
        <f t="shared" ref="J90:K90" si="98">J$20 * J45 * thousand / PowerFactor</f>
        <v>0</v>
      </c>
      <c r="K90" s="88">
        <f t="shared" si="98"/>
        <v>0</v>
      </c>
      <c r="L90" s="88">
        <f t="shared" ref="L90:M90" si="99">L$20 * L45 * thousand / PowerFactor</f>
        <v>0</v>
      </c>
      <c r="M90" s="88">
        <f t="shared" si="99"/>
        <v>0</v>
      </c>
      <c r="N90" s="88">
        <f t="shared" ref="N90:P90" si="100">N$20 * N45 * thousand / PowerFactor</f>
        <v>0</v>
      </c>
      <c r="O90" s="88">
        <f t="shared" si="100"/>
        <v>0</v>
      </c>
      <c r="P90" s="88">
        <f t="shared" si="100"/>
        <v>0</v>
      </c>
      <c r="Q90" s="88">
        <f t="shared" ref="Q90:S90" si="101">Q$20 * Q45 * thousand / PowerFactor</f>
        <v>0</v>
      </c>
      <c r="R90" s="88">
        <f t="shared" si="101"/>
        <v>0</v>
      </c>
      <c r="S90" s="88">
        <f t="shared" si="101"/>
        <v>0</v>
      </c>
      <c r="T90" s="88">
        <f t="shared" ref="T90:U90" si="102">T$20 * T45 * thousand / PowerFactor</f>
        <v>0</v>
      </c>
      <c r="U90" s="88">
        <f t="shared" si="102"/>
        <v>0</v>
      </c>
      <c r="V90" s="88">
        <f t="shared" ref="V90:W90" si="103">V$20 * V45 * thousand / PowerFactor</f>
        <v>0</v>
      </c>
      <c r="W90" s="88">
        <f t="shared" si="103"/>
        <v>0</v>
      </c>
      <c r="X90" s="88">
        <f t="shared" ref="X90:Y90" si="104">X$20 * X45 * thousand / PowerFactor</f>
        <v>0</v>
      </c>
      <c r="Y90" s="88">
        <f t="shared" si="104"/>
        <v>0</v>
      </c>
    </row>
    <row r="91" spans="3:25" x14ac:dyDescent="0.35">
      <c r="C91" s="78"/>
      <c r="D91"/>
      <c r="F91" t="s">
        <v>197</v>
      </c>
      <c r="G91" t="s">
        <v>727</v>
      </c>
      <c r="J91" s="88">
        <f t="shared" ref="J91:K91" si="105">J$20 * J46 * thousand / PowerFactor</f>
        <v>0</v>
      </c>
      <c r="K91" s="88">
        <f t="shared" si="105"/>
        <v>0</v>
      </c>
      <c r="L91" s="88">
        <f t="shared" ref="L91:M91" si="106">L$20 * L46 * thousand / PowerFactor</f>
        <v>0</v>
      </c>
      <c r="M91" s="88">
        <f t="shared" si="106"/>
        <v>0</v>
      </c>
      <c r="N91" s="88">
        <f t="shared" ref="N91:P91" si="107">N$20 * N46 * thousand / PowerFactor</f>
        <v>0</v>
      </c>
      <c r="O91" s="88">
        <f t="shared" si="107"/>
        <v>0</v>
      </c>
      <c r="P91" s="88">
        <f t="shared" si="107"/>
        <v>0</v>
      </c>
      <c r="Q91" s="88">
        <f t="shared" ref="Q91:S91" si="108">Q$20 * Q46 * thousand / PowerFactor</f>
        <v>0</v>
      </c>
      <c r="R91" s="88">
        <f t="shared" si="108"/>
        <v>0</v>
      </c>
      <c r="S91" s="88">
        <f t="shared" si="108"/>
        <v>0</v>
      </c>
      <c r="T91" s="88">
        <f t="shared" ref="T91:U91" si="109">T$20 * T46 * thousand / PowerFactor</f>
        <v>0</v>
      </c>
      <c r="U91" s="88">
        <f t="shared" si="109"/>
        <v>0</v>
      </c>
      <c r="V91" s="88">
        <f t="shared" ref="V91:W91" si="110">V$20 * V46 * thousand / PowerFactor</f>
        <v>0</v>
      </c>
      <c r="W91" s="88">
        <f t="shared" si="110"/>
        <v>0</v>
      </c>
      <c r="X91" s="88">
        <f t="shared" ref="X91:Y91" si="111">X$20 * X46 * thousand / PowerFactor</f>
        <v>0</v>
      </c>
      <c r="Y91" s="88">
        <f t="shared" si="111"/>
        <v>0</v>
      </c>
    </row>
    <row r="92" spans="3:25" x14ac:dyDescent="0.35">
      <c r="C92" s="78"/>
      <c r="D92"/>
      <c r="F92" t="s">
        <v>198</v>
      </c>
      <c r="G92" t="s">
        <v>727</v>
      </c>
      <c r="J92" s="88">
        <f t="shared" ref="J92:K92" si="112">J$20 * J47 * thousand / PowerFactor</f>
        <v>0</v>
      </c>
      <c r="K92" s="88">
        <f t="shared" si="112"/>
        <v>0</v>
      </c>
      <c r="L92" s="88">
        <f t="shared" ref="L92:M92" si="113">L$20 * L47 * thousand / PowerFactor</f>
        <v>0</v>
      </c>
      <c r="M92" s="88">
        <f t="shared" si="113"/>
        <v>0</v>
      </c>
      <c r="N92" s="88">
        <f t="shared" ref="N92:P92" si="114">N$20 * N47 * thousand / PowerFactor</f>
        <v>0</v>
      </c>
      <c r="O92" s="88">
        <f t="shared" si="114"/>
        <v>0</v>
      </c>
      <c r="P92" s="88">
        <f t="shared" si="114"/>
        <v>0</v>
      </c>
      <c r="Q92" s="88">
        <f t="shared" ref="Q92:S92" si="115">Q$20 * Q47 * thousand / PowerFactor</f>
        <v>0</v>
      </c>
      <c r="R92" s="88">
        <f t="shared" si="115"/>
        <v>0</v>
      </c>
      <c r="S92" s="88">
        <f t="shared" si="115"/>
        <v>0</v>
      </c>
      <c r="T92" s="88">
        <f t="shared" ref="T92:U92" si="116">T$20 * T47 * thousand / PowerFactor</f>
        <v>0</v>
      </c>
      <c r="U92" s="88">
        <f t="shared" si="116"/>
        <v>0</v>
      </c>
      <c r="V92" s="88">
        <f t="shared" ref="V92:W92" si="117">V$20 * V47 * thousand / PowerFactor</f>
        <v>0</v>
      </c>
      <c r="W92" s="88">
        <f t="shared" si="117"/>
        <v>0</v>
      </c>
      <c r="X92" s="88">
        <f t="shared" ref="X92:Y92" si="118">X$20 * X47 * thousand / PowerFactor</f>
        <v>0</v>
      </c>
      <c r="Y92" s="88">
        <f t="shared" si="118"/>
        <v>0</v>
      </c>
    </row>
    <row r="93" spans="3:25" x14ac:dyDescent="0.35">
      <c r="C93" s="78"/>
      <c r="D93"/>
      <c r="F93" t="s">
        <v>199</v>
      </c>
      <c r="G93" t="s">
        <v>727</v>
      </c>
      <c r="J93" s="88">
        <f t="shared" ref="J93:K93" si="119">J$20 * J48 * thousand / PowerFactor</f>
        <v>4169542.4829906384</v>
      </c>
      <c r="K93" s="88">
        <f t="shared" si="119"/>
        <v>0</v>
      </c>
      <c r="L93" s="88">
        <f t="shared" ref="L93:M93" si="120">L$20 * L48 * thousand / PowerFactor</f>
        <v>1467423.2542894143</v>
      </c>
      <c r="M93" s="88">
        <f t="shared" si="120"/>
        <v>0</v>
      </c>
      <c r="N93" s="88">
        <f t="shared" ref="N93:P93" si="121">N$20 * N48 * thousand / PowerFactor</f>
        <v>0</v>
      </c>
      <c r="O93" s="88">
        <f t="shared" si="121"/>
        <v>0</v>
      </c>
      <c r="P93" s="88">
        <f t="shared" si="121"/>
        <v>0</v>
      </c>
      <c r="Q93" s="88">
        <f t="shared" ref="Q93:S93" si="122">Q$20 * Q48 * thousand / PowerFactor</f>
        <v>0</v>
      </c>
      <c r="R93" s="88">
        <f t="shared" si="122"/>
        <v>0</v>
      </c>
      <c r="S93" s="88">
        <f t="shared" si="122"/>
        <v>0</v>
      </c>
      <c r="T93" s="88">
        <f t="shared" ref="T93:U93" si="123">T$20 * T48 * thousand / PowerFactor</f>
        <v>0</v>
      </c>
      <c r="U93" s="88">
        <f t="shared" si="123"/>
        <v>0</v>
      </c>
      <c r="V93" s="88">
        <f t="shared" ref="V93:W93" si="124">V$20 * V48 * thousand / PowerFactor</f>
        <v>0</v>
      </c>
      <c r="W93" s="88">
        <f t="shared" si="124"/>
        <v>0</v>
      </c>
      <c r="X93" s="88">
        <f t="shared" ref="X93:Y93" si="125">X$20 * X48 * thousand / PowerFactor</f>
        <v>0</v>
      </c>
      <c r="Y93" s="88">
        <f t="shared" si="125"/>
        <v>0</v>
      </c>
    </row>
    <row r="94" spans="3:25" x14ac:dyDescent="0.35">
      <c r="C94" s="78"/>
      <c r="D94"/>
      <c r="F94" t="s">
        <v>375</v>
      </c>
      <c r="G94" t="s">
        <v>727</v>
      </c>
      <c r="J94" s="69"/>
      <c r="K94" s="69"/>
      <c r="L94" s="69"/>
      <c r="M94" s="69"/>
      <c r="N94" s="69"/>
      <c r="O94" s="69"/>
      <c r="P94" s="69"/>
      <c r="Q94" s="69"/>
      <c r="R94" s="69"/>
      <c r="S94" s="69"/>
      <c r="T94" s="69"/>
      <c r="U94" s="69"/>
      <c r="V94" s="69"/>
      <c r="W94" s="69"/>
      <c r="X94" s="69"/>
      <c r="Y94" s="69"/>
    </row>
    <row r="95" spans="3:25" x14ac:dyDescent="0.35">
      <c r="C95" s="78"/>
      <c r="D95"/>
      <c r="F95" s="28" t="s">
        <v>376</v>
      </c>
      <c r="G95" s="28" t="s">
        <v>727</v>
      </c>
      <c r="H95" s="28"/>
      <c r="I95" s="28"/>
      <c r="J95" s="71"/>
      <c r="K95" s="71"/>
      <c r="L95" s="71"/>
      <c r="M95" s="71"/>
      <c r="N95" s="71"/>
      <c r="O95" s="71"/>
      <c r="P95" s="71"/>
      <c r="Q95" s="71"/>
      <c r="R95" s="71"/>
      <c r="S95" s="71"/>
      <c r="T95" s="71"/>
      <c r="U95" s="71"/>
      <c r="V95" s="71"/>
      <c r="W95" s="71"/>
      <c r="X95" s="71"/>
      <c r="Y95" s="71"/>
    </row>
    <row r="96" spans="3:25" x14ac:dyDescent="0.35">
      <c r="C96" s="78"/>
      <c r="J96" s="79"/>
      <c r="K96" s="79"/>
      <c r="L96" s="79"/>
      <c r="M96" s="79"/>
      <c r="N96" s="79"/>
      <c r="O96" s="79"/>
      <c r="P96" s="79"/>
      <c r="Q96" s="79"/>
      <c r="R96" s="79"/>
      <c r="S96" s="79"/>
      <c r="T96" s="79"/>
      <c r="U96" s="79"/>
      <c r="V96" s="79"/>
      <c r="W96" s="79"/>
      <c r="X96" s="79"/>
      <c r="Y96" s="79"/>
    </row>
    <row r="97" spans="3:27" x14ac:dyDescent="0.35">
      <c r="C97" s="26" t="str">
        <f ca="1">INDEX('Version control'!$H$38:$H$61,MATCH($A$1,'Version control'!$F$38:$F$61,0),1)&amp;"-F: Revenue allocated to fixed charges, by aggregation group"</f>
        <v>Section 114-F: Revenue allocated to fixed charges, by aggregation group</v>
      </c>
      <c r="D97" s="26"/>
      <c r="E97" s="26"/>
      <c r="F97" s="26"/>
      <c r="G97" s="26"/>
      <c r="H97" s="26"/>
      <c r="I97" s="26"/>
      <c r="J97" s="80"/>
      <c r="K97" s="80"/>
      <c r="L97" s="80"/>
      <c r="M97" s="80"/>
      <c r="N97" s="80"/>
      <c r="O97" s="80"/>
      <c r="P97" s="80"/>
      <c r="Q97" s="80"/>
      <c r="R97" s="80"/>
      <c r="S97" s="80"/>
      <c r="T97" s="80"/>
      <c r="U97" s="80"/>
      <c r="V97" s="80"/>
      <c r="W97" s="80"/>
      <c r="X97" s="80"/>
      <c r="Y97" s="80"/>
      <c r="Z97" s="26"/>
      <c r="AA97" s="26"/>
    </row>
    <row r="98" spans="3:27" x14ac:dyDescent="0.35">
      <c r="D98"/>
      <c r="E98" s="27"/>
      <c r="I98" t="s">
        <v>154</v>
      </c>
      <c r="J98" s="79"/>
      <c r="K98" s="79"/>
      <c r="L98" s="79"/>
      <c r="M98" s="79"/>
      <c r="N98" s="79"/>
      <c r="O98" s="79"/>
      <c r="P98" s="79"/>
      <c r="Q98" s="79"/>
      <c r="R98" s="79"/>
      <c r="S98" s="79"/>
      <c r="T98" s="79"/>
      <c r="U98" s="79"/>
      <c r="V98" s="79"/>
      <c r="W98" s="79"/>
      <c r="X98" s="79"/>
      <c r="Y98" s="79"/>
      <c r="AA98" t="s">
        <v>725</v>
      </c>
    </row>
    <row r="99" spans="3:27" x14ac:dyDescent="0.35">
      <c r="C99" s="78"/>
      <c r="D99"/>
      <c r="E99" s="27" t="s">
        <v>620</v>
      </c>
      <c r="J99" s="79"/>
      <c r="K99" s="79"/>
      <c r="L99" s="79"/>
      <c r="M99" s="79"/>
      <c r="N99" s="79"/>
      <c r="O99" s="79"/>
      <c r="P99" s="79"/>
      <c r="Q99" s="79"/>
      <c r="R99" s="79"/>
      <c r="S99" s="79"/>
      <c r="T99" s="79"/>
      <c r="U99" s="79"/>
      <c r="V99" s="79"/>
      <c r="W99" s="79"/>
      <c r="X99" s="79"/>
      <c r="Y99" s="79"/>
    </row>
    <row r="100" spans="3:27" x14ac:dyDescent="0.35">
      <c r="C100" s="78"/>
      <c r="D100"/>
      <c r="E100" s="24"/>
      <c r="F100" s="19" t="s">
        <v>189</v>
      </c>
      <c r="G100" s="19" t="s">
        <v>727</v>
      </c>
      <c r="H100" s="19"/>
      <c r="I100" s="19"/>
      <c r="J100" s="73"/>
      <c r="K100" s="73"/>
      <c r="L100" s="73"/>
      <c r="M100" s="73"/>
      <c r="N100" s="73"/>
      <c r="O100" s="73"/>
      <c r="P100" s="73"/>
      <c r="Q100" s="73"/>
      <c r="R100" s="73"/>
      <c r="S100" s="73"/>
      <c r="T100" s="73"/>
      <c r="U100" s="73"/>
      <c r="V100" s="73"/>
      <c r="W100" s="73"/>
      <c r="X100" s="73"/>
      <c r="Y100" s="73"/>
    </row>
    <row r="101" spans="3:27" x14ac:dyDescent="0.35">
      <c r="C101" s="78"/>
      <c r="D101"/>
      <c r="E101" s="24"/>
      <c r="F101" t="s">
        <v>191</v>
      </c>
      <c r="G101" t="s">
        <v>727</v>
      </c>
      <c r="J101" s="69"/>
      <c r="K101" s="69"/>
      <c r="L101" s="69"/>
      <c r="M101" s="69"/>
      <c r="N101" s="69"/>
      <c r="O101" s="69"/>
      <c r="P101" s="69"/>
      <c r="Q101" s="69"/>
      <c r="R101" s="69"/>
      <c r="S101" s="69"/>
      <c r="T101" s="69"/>
      <c r="U101" s="69"/>
      <c r="V101" s="69"/>
      <c r="W101" s="69"/>
      <c r="X101" s="69"/>
      <c r="Y101" s="69"/>
    </row>
    <row r="102" spans="3:27" x14ac:dyDescent="0.35">
      <c r="C102" s="78"/>
      <c r="D102"/>
      <c r="E102" s="24"/>
      <c r="F102" t="s">
        <v>192</v>
      </c>
      <c r="G102" t="s">
        <v>727</v>
      </c>
      <c r="J102" s="88">
        <f t="shared" ref="J102:Y102" si="126">SUMIFS($J72:$Y72,$J$63:$Y$63,J$63)</f>
        <v>0</v>
      </c>
      <c r="K102" s="88">
        <f t="shared" si="126"/>
        <v>0</v>
      </c>
      <c r="L102" s="88">
        <f t="shared" si="126"/>
        <v>0</v>
      </c>
      <c r="M102" s="88">
        <f t="shared" si="126"/>
        <v>0</v>
      </c>
      <c r="N102" s="88">
        <f t="shared" si="126"/>
        <v>0</v>
      </c>
      <c r="O102" s="88">
        <f t="shared" si="126"/>
        <v>0</v>
      </c>
      <c r="P102" s="88">
        <f t="shared" si="126"/>
        <v>0</v>
      </c>
      <c r="Q102" s="88">
        <f t="shared" si="126"/>
        <v>0</v>
      </c>
      <c r="R102" s="88">
        <f t="shared" si="126"/>
        <v>0</v>
      </c>
      <c r="S102" s="88">
        <f t="shared" si="126"/>
        <v>0</v>
      </c>
      <c r="T102" s="88">
        <f t="shared" si="126"/>
        <v>0</v>
      </c>
      <c r="U102" s="88">
        <f t="shared" si="126"/>
        <v>0</v>
      </c>
      <c r="V102" s="88">
        <f t="shared" si="126"/>
        <v>0</v>
      </c>
      <c r="W102" s="88">
        <f t="shared" si="126"/>
        <v>0</v>
      </c>
      <c r="X102" s="88">
        <f t="shared" si="126"/>
        <v>0</v>
      </c>
      <c r="Y102" s="88">
        <f t="shared" si="126"/>
        <v>0</v>
      </c>
    </row>
    <row r="103" spans="3:27" x14ac:dyDescent="0.35">
      <c r="C103" s="78"/>
      <c r="D103"/>
      <c r="E103" s="24"/>
      <c r="F103" t="s">
        <v>193</v>
      </c>
      <c r="G103" t="s">
        <v>727</v>
      </c>
      <c r="J103" s="88">
        <f t="shared" ref="J103:Y103" si="127">SUMIFS($J73:$Y73,$J$63:$Y$63,J$63)</f>
        <v>0</v>
      </c>
      <c r="K103" s="88">
        <f t="shared" si="127"/>
        <v>0</v>
      </c>
      <c r="L103" s="88">
        <f t="shared" si="127"/>
        <v>0</v>
      </c>
      <c r="M103" s="88">
        <f t="shared" si="127"/>
        <v>0</v>
      </c>
      <c r="N103" s="88">
        <f t="shared" si="127"/>
        <v>0</v>
      </c>
      <c r="O103" s="88">
        <f t="shared" si="127"/>
        <v>0</v>
      </c>
      <c r="P103" s="88">
        <f t="shared" si="127"/>
        <v>0</v>
      </c>
      <c r="Q103" s="88">
        <f t="shared" si="127"/>
        <v>0</v>
      </c>
      <c r="R103" s="88">
        <f t="shared" si="127"/>
        <v>0</v>
      </c>
      <c r="S103" s="88">
        <f t="shared" si="127"/>
        <v>0</v>
      </c>
      <c r="T103" s="88">
        <f t="shared" si="127"/>
        <v>0</v>
      </c>
      <c r="U103" s="88">
        <f t="shared" si="127"/>
        <v>0</v>
      </c>
      <c r="V103" s="88">
        <f t="shared" si="127"/>
        <v>0</v>
      </c>
      <c r="W103" s="88">
        <f t="shared" si="127"/>
        <v>0</v>
      </c>
      <c r="X103" s="88">
        <f t="shared" si="127"/>
        <v>0</v>
      </c>
      <c r="Y103" s="88">
        <f t="shared" si="127"/>
        <v>0</v>
      </c>
    </row>
    <row r="104" spans="3:27" x14ac:dyDescent="0.35">
      <c r="C104" s="78"/>
      <c r="D104"/>
      <c r="E104" s="24"/>
      <c r="F104" t="s">
        <v>194</v>
      </c>
      <c r="G104" t="s">
        <v>727</v>
      </c>
      <c r="J104" s="88">
        <f t="shared" ref="J104:Y104" si="128">SUMIFS($J74:$Y74,$J$63:$Y$63,J$63)</f>
        <v>0</v>
      </c>
      <c r="K104" s="88">
        <f t="shared" si="128"/>
        <v>0</v>
      </c>
      <c r="L104" s="88">
        <f t="shared" si="128"/>
        <v>0</v>
      </c>
      <c r="M104" s="88">
        <f t="shared" si="128"/>
        <v>0</v>
      </c>
      <c r="N104" s="88">
        <f t="shared" si="128"/>
        <v>0</v>
      </c>
      <c r="O104" s="88">
        <f t="shared" si="128"/>
        <v>0</v>
      </c>
      <c r="P104" s="88">
        <f t="shared" si="128"/>
        <v>0</v>
      </c>
      <c r="Q104" s="88">
        <f t="shared" si="128"/>
        <v>0</v>
      </c>
      <c r="R104" s="88">
        <f t="shared" si="128"/>
        <v>0</v>
      </c>
      <c r="S104" s="88">
        <f t="shared" si="128"/>
        <v>0</v>
      </c>
      <c r="T104" s="88">
        <f t="shared" si="128"/>
        <v>0</v>
      </c>
      <c r="U104" s="88">
        <f t="shared" si="128"/>
        <v>0</v>
      </c>
      <c r="V104" s="88">
        <f t="shared" si="128"/>
        <v>0</v>
      </c>
      <c r="W104" s="88">
        <f t="shared" si="128"/>
        <v>0</v>
      </c>
      <c r="X104" s="88">
        <f t="shared" si="128"/>
        <v>0</v>
      </c>
      <c r="Y104" s="88">
        <f t="shared" si="128"/>
        <v>0</v>
      </c>
    </row>
    <row r="105" spans="3:27" x14ac:dyDescent="0.35">
      <c r="C105" s="78"/>
      <c r="D105"/>
      <c r="E105" s="24"/>
      <c r="F105" t="s">
        <v>195</v>
      </c>
      <c r="G105" t="s">
        <v>727</v>
      </c>
      <c r="J105" s="88">
        <f t="shared" ref="J105:Y105" si="129">SUMIFS($J75:$Y75,$J$63:$Y$63,J$63)</f>
        <v>0</v>
      </c>
      <c r="K105" s="88">
        <f t="shared" si="129"/>
        <v>0</v>
      </c>
      <c r="L105" s="88">
        <f t="shared" si="129"/>
        <v>0</v>
      </c>
      <c r="M105" s="88">
        <f t="shared" si="129"/>
        <v>0</v>
      </c>
      <c r="N105" s="88">
        <f t="shared" si="129"/>
        <v>0</v>
      </c>
      <c r="O105" s="88">
        <f t="shared" si="129"/>
        <v>0</v>
      </c>
      <c r="P105" s="88">
        <f t="shared" si="129"/>
        <v>0</v>
      </c>
      <c r="Q105" s="88">
        <f t="shared" si="129"/>
        <v>0</v>
      </c>
      <c r="R105" s="88">
        <f t="shared" si="129"/>
        <v>0</v>
      </c>
      <c r="S105" s="88">
        <f t="shared" si="129"/>
        <v>0</v>
      </c>
      <c r="T105" s="88">
        <f t="shared" si="129"/>
        <v>0</v>
      </c>
      <c r="U105" s="88">
        <f t="shared" si="129"/>
        <v>0</v>
      </c>
      <c r="V105" s="88">
        <f t="shared" si="129"/>
        <v>0</v>
      </c>
      <c r="W105" s="88">
        <f t="shared" si="129"/>
        <v>0</v>
      </c>
      <c r="X105" s="88">
        <f t="shared" si="129"/>
        <v>0</v>
      </c>
      <c r="Y105" s="88">
        <f t="shared" si="129"/>
        <v>0</v>
      </c>
    </row>
    <row r="106" spans="3:27" x14ac:dyDescent="0.35">
      <c r="C106" s="78"/>
      <c r="D106"/>
      <c r="E106" s="24"/>
      <c r="F106" t="s">
        <v>196</v>
      </c>
      <c r="G106" t="s">
        <v>727</v>
      </c>
      <c r="J106" s="88">
        <f t="shared" ref="J106:Y106" si="130">SUMIFS($J76:$Y76,$J$63:$Y$63,J$63)</f>
        <v>0</v>
      </c>
      <c r="K106" s="88">
        <f t="shared" si="130"/>
        <v>0</v>
      </c>
      <c r="L106" s="88">
        <f t="shared" si="130"/>
        <v>0</v>
      </c>
      <c r="M106" s="88">
        <f t="shared" si="130"/>
        <v>0</v>
      </c>
      <c r="N106" s="88">
        <f t="shared" si="130"/>
        <v>0</v>
      </c>
      <c r="O106" s="88">
        <f t="shared" si="130"/>
        <v>0</v>
      </c>
      <c r="P106" s="88">
        <f t="shared" si="130"/>
        <v>0</v>
      </c>
      <c r="Q106" s="88">
        <f t="shared" si="130"/>
        <v>0</v>
      </c>
      <c r="R106" s="88">
        <f t="shared" si="130"/>
        <v>0</v>
      </c>
      <c r="S106" s="88">
        <f t="shared" si="130"/>
        <v>0</v>
      </c>
      <c r="T106" s="88">
        <f t="shared" si="130"/>
        <v>0</v>
      </c>
      <c r="U106" s="88">
        <f t="shared" si="130"/>
        <v>0</v>
      </c>
      <c r="V106" s="88">
        <f t="shared" si="130"/>
        <v>0</v>
      </c>
      <c r="W106" s="88">
        <f t="shared" si="130"/>
        <v>0</v>
      </c>
      <c r="X106" s="88">
        <f t="shared" si="130"/>
        <v>0</v>
      </c>
      <c r="Y106" s="88">
        <f t="shared" si="130"/>
        <v>0</v>
      </c>
    </row>
    <row r="107" spans="3:27" x14ac:dyDescent="0.35">
      <c r="C107" s="78"/>
      <c r="D107"/>
      <c r="E107" s="24"/>
      <c r="F107" t="s">
        <v>197</v>
      </c>
      <c r="G107" t="s">
        <v>727</v>
      </c>
      <c r="J107" s="88">
        <f t="shared" ref="J107:Y107" si="131">SUMIFS($J77:$Y77,$J$63:$Y$63,J$63)</f>
        <v>0</v>
      </c>
      <c r="K107" s="88">
        <f t="shared" si="131"/>
        <v>0</v>
      </c>
      <c r="L107" s="88">
        <f t="shared" si="131"/>
        <v>0</v>
      </c>
      <c r="M107" s="88">
        <f t="shared" si="131"/>
        <v>0</v>
      </c>
      <c r="N107" s="88">
        <f t="shared" si="131"/>
        <v>0</v>
      </c>
      <c r="O107" s="88">
        <f t="shared" si="131"/>
        <v>0</v>
      </c>
      <c r="P107" s="88">
        <f t="shared" si="131"/>
        <v>0</v>
      </c>
      <c r="Q107" s="88">
        <f t="shared" si="131"/>
        <v>0</v>
      </c>
      <c r="R107" s="88">
        <f t="shared" si="131"/>
        <v>0</v>
      </c>
      <c r="S107" s="88">
        <f t="shared" si="131"/>
        <v>0</v>
      </c>
      <c r="T107" s="88">
        <f t="shared" si="131"/>
        <v>0</v>
      </c>
      <c r="U107" s="88">
        <f t="shared" si="131"/>
        <v>0</v>
      </c>
      <c r="V107" s="88">
        <f t="shared" si="131"/>
        <v>0</v>
      </c>
      <c r="W107" s="88">
        <f t="shared" si="131"/>
        <v>0</v>
      </c>
      <c r="X107" s="88">
        <f t="shared" si="131"/>
        <v>0</v>
      </c>
      <c r="Y107" s="88">
        <f t="shared" si="131"/>
        <v>0</v>
      </c>
    </row>
    <row r="108" spans="3:27" x14ac:dyDescent="0.35">
      <c r="C108" s="78"/>
      <c r="D108"/>
      <c r="E108" s="24"/>
      <c r="F108" t="s">
        <v>198</v>
      </c>
      <c r="G108" t="s">
        <v>727</v>
      </c>
      <c r="J108" s="88">
        <f t="shared" ref="J108:Y108" si="132">SUMIFS($J78:$Y78,$J$63:$Y$63,J$63)</f>
        <v>0</v>
      </c>
      <c r="K108" s="88">
        <f t="shared" si="132"/>
        <v>0</v>
      </c>
      <c r="L108" s="88">
        <f t="shared" si="132"/>
        <v>0</v>
      </c>
      <c r="M108" s="88">
        <f t="shared" si="132"/>
        <v>0</v>
      </c>
      <c r="N108" s="88">
        <f t="shared" si="132"/>
        <v>0</v>
      </c>
      <c r="O108" s="88">
        <f t="shared" si="132"/>
        <v>0</v>
      </c>
      <c r="P108" s="88">
        <f t="shared" si="132"/>
        <v>0</v>
      </c>
      <c r="Q108" s="88">
        <f t="shared" si="132"/>
        <v>0</v>
      </c>
      <c r="R108" s="88">
        <f t="shared" si="132"/>
        <v>0</v>
      </c>
      <c r="S108" s="88">
        <f t="shared" si="132"/>
        <v>0</v>
      </c>
      <c r="T108" s="88">
        <f t="shared" si="132"/>
        <v>0</v>
      </c>
      <c r="U108" s="88">
        <f t="shared" si="132"/>
        <v>0</v>
      </c>
      <c r="V108" s="88">
        <f t="shared" si="132"/>
        <v>0</v>
      </c>
      <c r="W108" s="88">
        <f t="shared" si="132"/>
        <v>0</v>
      </c>
      <c r="X108" s="88">
        <f t="shared" si="132"/>
        <v>0</v>
      </c>
      <c r="Y108" s="88">
        <f t="shared" si="132"/>
        <v>0</v>
      </c>
    </row>
    <row r="109" spans="3:27" x14ac:dyDescent="0.35">
      <c r="C109" s="78"/>
      <c r="D109"/>
      <c r="E109" s="24"/>
      <c r="F109" t="s">
        <v>199</v>
      </c>
      <c r="G109" t="s">
        <v>727</v>
      </c>
      <c r="J109" s="88">
        <f t="shared" ref="J109:Y109" si="133">SUMIFS($J79:$Y79,$J$63:$Y$63,J$63)</f>
        <v>372686.76620910718</v>
      </c>
      <c r="K109" s="88">
        <f t="shared" si="133"/>
        <v>0</v>
      </c>
      <c r="L109" s="88">
        <f t="shared" si="133"/>
        <v>372686.76620910718</v>
      </c>
      <c r="M109" s="88">
        <f t="shared" si="133"/>
        <v>0</v>
      </c>
      <c r="N109" s="88">
        <f t="shared" si="133"/>
        <v>0</v>
      </c>
      <c r="O109" s="88">
        <f t="shared" si="133"/>
        <v>0</v>
      </c>
      <c r="P109" s="88">
        <f t="shared" si="133"/>
        <v>0</v>
      </c>
      <c r="Q109" s="88">
        <f t="shared" si="133"/>
        <v>0</v>
      </c>
      <c r="R109" s="88">
        <f t="shared" si="133"/>
        <v>0</v>
      </c>
      <c r="S109" s="88">
        <f t="shared" si="133"/>
        <v>0</v>
      </c>
      <c r="T109" s="88">
        <f t="shared" si="133"/>
        <v>0</v>
      </c>
      <c r="U109" s="88">
        <f t="shared" si="133"/>
        <v>0</v>
      </c>
      <c r="V109" s="88">
        <f t="shared" si="133"/>
        <v>0</v>
      </c>
      <c r="W109" s="88">
        <f t="shared" si="133"/>
        <v>0</v>
      </c>
      <c r="X109" s="88">
        <f t="shared" si="133"/>
        <v>0</v>
      </c>
      <c r="Y109" s="88">
        <f t="shared" si="133"/>
        <v>0</v>
      </c>
    </row>
    <row r="110" spans="3:27" x14ac:dyDescent="0.35">
      <c r="C110" s="78"/>
      <c r="D110"/>
      <c r="E110" s="24"/>
      <c r="F110" t="s">
        <v>375</v>
      </c>
      <c r="G110" t="s">
        <v>727</v>
      </c>
      <c r="J110" s="69"/>
      <c r="K110" s="69"/>
      <c r="L110" s="69"/>
      <c r="M110" s="69"/>
      <c r="N110" s="69"/>
      <c r="O110" s="69"/>
      <c r="P110" s="69"/>
      <c r="Q110" s="69"/>
      <c r="R110" s="69"/>
      <c r="S110" s="69"/>
      <c r="T110" s="69"/>
      <c r="U110" s="69"/>
      <c r="V110" s="69"/>
      <c r="W110" s="69"/>
      <c r="X110" s="69"/>
      <c r="Y110" s="69"/>
    </row>
    <row r="111" spans="3:27" x14ac:dyDescent="0.35">
      <c r="C111" s="78"/>
      <c r="D111"/>
      <c r="E111" s="24"/>
      <c r="F111" s="28" t="s">
        <v>376</v>
      </c>
      <c r="G111" s="28" t="s">
        <v>727</v>
      </c>
      <c r="H111" s="28"/>
      <c r="I111" s="28"/>
      <c r="J111" s="71"/>
      <c r="K111" s="71"/>
      <c r="L111" s="71"/>
      <c r="M111" s="71"/>
      <c r="N111" s="71"/>
      <c r="O111" s="71"/>
      <c r="P111" s="71"/>
      <c r="Q111" s="71"/>
      <c r="R111" s="71"/>
      <c r="S111" s="71"/>
      <c r="T111" s="71"/>
      <c r="U111" s="71"/>
      <c r="V111" s="71"/>
      <c r="W111" s="71"/>
      <c r="X111" s="71"/>
      <c r="Y111" s="71"/>
    </row>
    <row r="112" spans="3:27" x14ac:dyDescent="0.35">
      <c r="C112" s="78"/>
      <c r="D112"/>
      <c r="E112" s="24"/>
      <c r="J112" s="79"/>
      <c r="K112" s="79"/>
      <c r="L112" s="79"/>
      <c r="M112" s="79"/>
      <c r="N112" s="79"/>
      <c r="O112" s="79"/>
      <c r="P112" s="79"/>
      <c r="Q112" s="79"/>
      <c r="R112" s="79"/>
      <c r="S112" s="79"/>
      <c r="T112" s="79"/>
      <c r="U112" s="79"/>
      <c r="V112" s="79"/>
      <c r="W112" s="79"/>
      <c r="X112" s="79"/>
      <c r="Y112" s="79"/>
    </row>
    <row r="113" spans="3:27" x14ac:dyDescent="0.35">
      <c r="C113" s="78"/>
      <c r="D113"/>
      <c r="E113" s="27" t="s">
        <v>621</v>
      </c>
      <c r="J113" s="79"/>
      <c r="K113" s="79"/>
      <c r="L113" s="79"/>
      <c r="M113" s="79"/>
      <c r="N113" s="79"/>
      <c r="O113" s="79"/>
      <c r="P113" s="79"/>
      <c r="Q113" s="79"/>
      <c r="R113" s="79"/>
      <c r="S113" s="79"/>
      <c r="T113" s="79"/>
      <c r="U113" s="79"/>
      <c r="V113" s="79"/>
      <c r="W113" s="79"/>
      <c r="X113" s="79"/>
      <c r="Y113" s="79"/>
    </row>
    <row r="114" spans="3:27" x14ac:dyDescent="0.35">
      <c r="C114" s="78"/>
      <c r="D114"/>
      <c r="F114" s="19" t="s">
        <v>189</v>
      </c>
      <c r="G114" s="19" t="s">
        <v>727</v>
      </c>
      <c r="H114" s="19"/>
      <c r="I114" s="19"/>
      <c r="J114" s="116">
        <f t="shared" ref="J114:Y114" si="134">SUMIFS($J84:$Y84,$J$63:$Y$63,J$63)</f>
        <v>0</v>
      </c>
      <c r="K114" s="116">
        <f t="shared" si="134"/>
        <v>0</v>
      </c>
      <c r="L114" s="116">
        <f t="shared" si="134"/>
        <v>0</v>
      </c>
      <c r="M114" s="116">
        <f t="shared" si="134"/>
        <v>0</v>
      </c>
      <c r="N114" s="116">
        <f t="shared" si="134"/>
        <v>0</v>
      </c>
      <c r="O114" s="116">
        <f t="shared" si="134"/>
        <v>0</v>
      </c>
      <c r="P114" s="116">
        <f t="shared" si="134"/>
        <v>0</v>
      </c>
      <c r="Q114" s="116">
        <f t="shared" si="134"/>
        <v>0</v>
      </c>
      <c r="R114" s="116">
        <f t="shared" si="134"/>
        <v>0</v>
      </c>
      <c r="S114" s="116">
        <f t="shared" si="134"/>
        <v>0</v>
      </c>
      <c r="T114" s="116">
        <f t="shared" si="134"/>
        <v>0</v>
      </c>
      <c r="U114" s="116">
        <f t="shared" si="134"/>
        <v>0</v>
      </c>
      <c r="V114" s="116">
        <f t="shared" si="134"/>
        <v>0</v>
      </c>
      <c r="W114" s="116">
        <f t="shared" si="134"/>
        <v>0</v>
      </c>
      <c r="X114" s="116">
        <f t="shared" si="134"/>
        <v>0</v>
      </c>
      <c r="Y114" s="116">
        <f t="shared" si="134"/>
        <v>0</v>
      </c>
    </row>
    <row r="115" spans="3:27" x14ac:dyDescent="0.35">
      <c r="C115" s="78"/>
      <c r="D115"/>
      <c r="F115" t="s">
        <v>191</v>
      </c>
      <c r="G115" t="s">
        <v>727</v>
      </c>
      <c r="J115" s="88">
        <f t="shared" ref="J115:Y115" si="135">SUMIFS($J85:$Y85,$J$63:$Y$63,J$63)</f>
        <v>0</v>
      </c>
      <c r="K115" s="88">
        <f t="shared" si="135"/>
        <v>0</v>
      </c>
      <c r="L115" s="88">
        <f t="shared" si="135"/>
        <v>0</v>
      </c>
      <c r="M115" s="88">
        <f t="shared" si="135"/>
        <v>0</v>
      </c>
      <c r="N115" s="88">
        <f t="shared" si="135"/>
        <v>0</v>
      </c>
      <c r="O115" s="88">
        <f t="shared" si="135"/>
        <v>0</v>
      </c>
      <c r="P115" s="88">
        <f t="shared" si="135"/>
        <v>0</v>
      </c>
      <c r="Q115" s="88">
        <f t="shared" si="135"/>
        <v>0</v>
      </c>
      <c r="R115" s="88">
        <f t="shared" si="135"/>
        <v>0</v>
      </c>
      <c r="S115" s="88">
        <f t="shared" si="135"/>
        <v>0</v>
      </c>
      <c r="T115" s="88">
        <f t="shared" si="135"/>
        <v>0</v>
      </c>
      <c r="U115" s="88">
        <f t="shared" si="135"/>
        <v>0</v>
      </c>
      <c r="V115" s="88">
        <f t="shared" si="135"/>
        <v>0</v>
      </c>
      <c r="W115" s="88">
        <f t="shared" si="135"/>
        <v>0</v>
      </c>
      <c r="X115" s="88">
        <f t="shared" si="135"/>
        <v>0</v>
      </c>
      <c r="Y115" s="88">
        <f t="shared" si="135"/>
        <v>0</v>
      </c>
    </row>
    <row r="116" spans="3:27" x14ac:dyDescent="0.35">
      <c r="C116" s="78"/>
      <c r="D116"/>
      <c r="F116" t="s">
        <v>192</v>
      </c>
      <c r="G116" t="s">
        <v>727</v>
      </c>
      <c r="J116" s="88">
        <f t="shared" ref="J116:Y116" si="136">SUMIFS($J86:$Y86,$J$63:$Y$63,J$63)</f>
        <v>0</v>
      </c>
      <c r="K116" s="88">
        <f t="shared" si="136"/>
        <v>0</v>
      </c>
      <c r="L116" s="88">
        <f t="shared" si="136"/>
        <v>0</v>
      </c>
      <c r="M116" s="88">
        <f t="shared" si="136"/>
        <v>0</v>
      </c>
      <c r="N116" s="88">
        <f t="shared" si="136"/>
        <v>0</v>
      </c>
      <c r="O116" s="88">
        <f t="shared" si="136"/>
        <v>0</v>
      </c>
      <c r="P116" s="88">
        <f t="shared" si="136"/>
        <v>0</v>
      </c>
      <c r="Q116" s="88">
        <f t="shared" si="136"/>
        <v>0</v>
      </c>
      <c r="R116" s="88">
        <f t="shared" si="136"/>
        <v>0</v>
      </c>
      <c r="S116" s="88">
        <f t="shared" si="136"/>
        <v>0</v>
      </c>
      <c r="T116" s="88">
        <f t="shared" si="136"/>
        <v>0</v>
      </c>
      <c r="U116" s="88">
        <f t="shared" si="136"/>
        <v>0</v>
      </c>
      <c r="V116" s="88">
        <f t="shared" si="136"/>
        <v>0</v>
      </c>
      <c r="W116" s="88">
        <f t="shared" si="136"/>
        <v>0</v>
      </c>
      <c r="X116" s="88">
        <f t="shared" si="136"/>
        <v>0</v>
      </c>
      <c r="Y116" s="88">
        <f t="shared" si="136"/>
        <v>0</v>
      </c>
    </row>
    <row r="117" spans="3:27" x14ac:dyDescent="0.35">
      <c r="C117" s="78"/>
      <c r="D117"/>
      <c r="F117" t="s">
        <v>193</v>
      </c>
      <c r="G117" t="s">
        <v>727</v>
      </c>
      <c r="J117" s="88">
        <f t="shared" ref="J117:Y117" si="137">SUMIFS($J87:$Y87,$J$63:$Y$63,J$63)</f>
        <v>0</v>
      </c>
      <c r="K117" s="88">
        <f t="shared" si="137"/>
        <v>0</v>
      </c>
      <c r="L117" s="88">
        <f t="shared" si="137"/>
        <v>0</v>
      </c>
      <c r="M117" s="88">
        <f t="shared" si="137"/>
        <v>0</v>
      </c>
      <c r="N117" s="88">
        <f t="shared" si="137"/>
        <v>0</v>
      </c>
      <c r="O117" s="88">
        <f t="shared" si="137"/>
        <v>0</v>
      </c>
      <c r="P117" s="88">
        <f t="shared" si="137"/>
        <v>0</v>
      </c>
      <c r="Q117" s="88">
        <f t="shared" si="137"/>
        <v>0</v>
      </c>
      <c r="R117" s="88">
        <f t="shared" si="137"/>
        <v>0</v>
      </c>
      <c r="S117" s="88">
        <f t="shared" si="137"/>
        <v>0</v>
      </c>
      <c r="T117" s="88">
        <f t="shared" si="137"/>
        <v>0</v>
      </c>
      <c r="U117" s="88">
        <f t="shared" si="137"/>
        <v>0</v>
      </c>
      <c r="V117" s="88">
        <f t="shared" si="137"/>
        <v>0</v>
      </c>
      <c r="W117" s="88">
        <f t="shared" si="137"/>
        <v>0</v>
      </c>
      <c r="X117" s="88">
        <f t="shared" si="137"/>
        <v>0</v>
      </c>
      <c r="Y117" s="88">
        <f t="shared" si="137"/>
        <v>0</v>
      </c>
    </row>
    <row r="118" spans="3:27" x14ac:dyDescent="0.35">
      <c r="C118" s="78"/>
      <c r="D118"/>
      <c r="F118" t="s">
        <v>194</v>
      </c>
      <c r="G118" t="s">
        <v>727</v>
      </c>
      <c r="J118" s="88">
        <f t="shared" ref="J118:Y118" si="138">SUMIFS($J88:$Y88,$J$63:$Y$63,J$63)</f>
        <v>0</v>
      </c>
      <c r="K118" s="88">
        <f t="shared" si="138"/>
        <v>0</v>
      </c>
      <c r="L118" s="88">
        <f t="shared" si="138"/>
        <v>0</v>
      </c>
      <c r="M118" s="88">
        <f t="shared" si="138"/>
        <v>0</v>
      </c>
      <c r="N118" s="88">
        <f t="shared" si="138"/>
        <v>0</v>
      </c>
      <c r="O118" s="88">
        <f t="shared" si="138"/>
        <v>0</v>
      </c>
      <c r="P118" s="88">
        <f t="shared" si="138"/>
        <v>0</v>
      </c>
      <c r="Q118" s="88">
        <f t="shared" si="138"/>
        <v>0</v>
      </c>
      <c r="R118" s="88">
        <f t="shared" si="138"/>
        <v>0</v>
      </c>
      <c r="S118" s="88">
        <f t="shared" si="138"/>
        <v>0</v>
      </c>
      <c r="T118" s="88">
        <f t="shared" si="138"/>
        <v>0</v>
      </c>
      <c r="U118" s="88">
        <f t="shared" si="138"/>
        <v>0</v>
      </c>
      <c r="V118" s="88">
        <f t="shared" si="138"/>
        <v>0</v>
      </c>
      <c r="W118" s="88">
        <f t="shared" si="138"/>
        <v>0</v>
      </c>
      <c r="X118" s="88">
        <f t="shared" si="138"/>
        <v>0</v>
      </c>
      <c r="Y118" s="88">
        <f t="shared" si="138"/>
        <v>0</v>
      </c>
    </row>
    <row r="119" spans="3:27" x14ac:dyDescent="0.35">
      <c r="C119" s="78"/>
      <c r="D119"/>
      <c r="F119" t="s">
        <v>195</v>
      </c>
      <c r="G119" t="s">
        <v>727</v>
      </c>
      <c r="J119" s="88">
        <f t="shared" ref="J119:Y119" si="139">SUMIFS($J89:$Y89,$J$63:$Y$63,J$63)</f>
        <v>0</v>
      </c>
      <c r="K119" s="88">
        <f t="shared" si="139"/>
        <v>0</v>
      </c>
      <c r="L119" s="88">
        <f t="shared" si="139"/>
        <v>0</v>
      </c>
      <c r="M119" s="88">
        <f t="shared" si="139"/>
        <v>0</v>
      </c>
      <c r="N119" s="88">
        <f t="shared" si="139"/>
        <v>0</v>
      </c>
      <c r="O119" s="88">
        <f t="shared" si="139"/>
        <v>0</v>
      </c>
      <c r="P119" s="88">
        <f t="shared" si="139"/>
        <v>0</v>
      </c>
      <c r="Q119" s="88">
        <f t="shared" si="139"/>
        <v>0</v>
      </c>
      <c r="R119" s="88">
        <f t="shared" si="139"/>
        <v>0</v>
      </c>
      <c r="S119" s="88">
        <f t="shared" si="139"/>
        <v>0</v>
      </c>
      <c r="T119" s="88">
        <f t="shared" si="139"/>
        <v>0</v>
      </c>
      <c r="U119" s="88">
        <f t="shared" si="139"/>
        <v>0</v>
      </c>
      <c r="V119" s="88">
        <f t="shared" si="139"/>
        <v>0</v>
      </c>
      <c r="W119" s="88">
        <f t="shared" si="139"/>
        <v>0</v>
      </c>
      <c r="X119" s="88">
        <f t="shared" si="139"/>
        <v>0</v>
      </c>
      <c r="Y119" s="88">
        <f t="shared" si="139"/>
        <v>0</v>
      </c>
    </row>
    <row r="120" spans="3:27" x14ac:dyDescent="0.35">
      <c r="C120" s="78"/>
      <c r="D120"/>
      <c r="F120" t="s">
        <v>196</v>
      </c>
      <c r="G120" t="s">
        <v>727</v>
      </c>
      <c r="J120" s="88">
        <f t="shared" ref="J120:Y120" si="140">SUMIFS($J90:$Y90,$J$63:$Y$63,J$63)</f>
        <v>0</v>
      </c>
      <c r="K120" s="88">
        <f t="shared" si="140"/>
        <v>0</v>
      </c>
      <c r="L120" s="88">
        <f t="shared" si="140"/>
        <v>0</v>
      </c>
      <c r="M120" s="88">
        <f t="shared" si="140"/>
        <v>0</v>
      </c>
      <c r="N120" s="88">
        <f t="shared" si="140"/>
        <v>0</v>
      </c>
      <c r="O120" s="88">
        <f t="shared" si="140"/>
        <v>0</v>
      </c>
      <c r="P120" s="88">
        <f t="shared" si="140"/>
        <v>0</v>
      </c>
      <c r="Q120" s="88">
        <f t="shared" si="140"/>
        <v>0</v>
      </c>
      <c r="R120" s="88">
        <f t="shared" si="140"/>
        <v>0</v>
      </c>
      <c r="S120" s="88">
        <f t="shared" si="140"/>
        <v>0</v>
      </c>
      <c r="T120" s="88">
        <f t="shared" si="140"/>
        <v>0</v>
      </c>
      <c r="U120" s="88">
        <f t="shared" si="140"/>
        <v>0</v>
      </c>
      <c r="V120" s="88">
        <f t="shared" si="140"/>
        <v>0</v>
      </c>
      <c r="W120" s="88">
        <f t="shared" si="140"/>
        <v>0</v>
      </c>
      <c r="X120" s="88">
        <f t="shared" si="140"/>
        <v>0</v>
      </c>
      <c r="Y120" s="88">
        <f t="shared" si="140"/>
        <v>0</v>
      </c>
    </row>
    <row r="121" spans="3:27" x14ac:dyDescent="0.35">
      <c r="C121" s="78"/>
      <c r="D121"/>
      <c r="F121" t="s">
        <v>197</v>
      </c>
      <c r="G121" t="s">
        <v>727</v>
      </c>
      <c r="J121" s="88">
        <f t="shared" ref="J121:Y121" si="141">SUMIFS($J91:$Y91,$J$63:$Y$63,J$63)</f>
        <v>0</v>
      </c>
      <c r="K121" s="88">
        <f t="shared" si="141"/>
        <v>0</v>
      </c>
      <c r="L121" s="88">
        <f t="shared" si="141"/>
        <v>0</v>
      </c>
      <c r="M121" s="88">
        <f t="shared" si="141"/>
        <v>0</v>
      </c>
      <c r="N121" s="88">
        <f t="shared" si="141"/>
        <v>0</v>
      </c>
      <c r="O121" s="88">
        <f t="shared" si="141"/>
        <v>0</v>
      </c>
      <c r="P121" s="88">
        <f t="shared" si="141"/>
        <v>0</v>
      </c>
      <c r="Q121" s="88">
        <f t="shared" si="141"/>
        <v>0</v>
      </c>
      <c r="R121" s="88">
        <f t="shared" si="141"/>
        <v>0</v>
      </c>
      <c r="S121" s="88">
        <f t="shared" si="141"/>
        <v>0</v>
      </c>
      <c r="T121" s="88">
        <f t="shared" si="141"/>
        <v>0</v>
      </c>
      <c r="U121" s="88">
        <f t="shared" si="141"/>
        <v>0</v>
      </c>
      <c r="V121" s="88">
        <f t="shared" si="141"/>
        <v>0</v>
      </c>
      <c r="W121" s="88">
        <f t="shared" si="141"/>
        <v>0</v>
      </c>
      <c r="X121" s="88">
        <f t="shared" si="141"/>
        <v>0</v>
      </c>
      <c r="Y121" s="88">
        <f t="shared" si="141"/>
        <v>0</v>
      </c>
    </row>
    <row r="122" spans="3:27" x14ac:dyDescent="0.35">
      <c r="C122" s="78"/>
      <c r="D122"/>
      <c r="F122" t="s">
        <v>198</v>
      </c>
      <c r="G122" t="s">
        <v>727</v>
      </c>
      <c r="J122" s="88">
        <f t="shared" ref="J122:Y122" si="142">SUMIFS($J92:$Y92,$J$63:$Y$63,J$63)</f>
        <v>0</v>
      </c>
      <c r="K122" s="88">
        <f t="shared" si="142"/>
        <v>0</v>
      </c>
      <c r="L122" s="88">
        <f t="shared" si="142"/>
        <v>0</v>
      </c>
      <c r="M122" s="88">
        <f t="shared" si="142"/>
        <v>0</v>
      </c>
      <c r="N122" s="88">
        <f t="shared" si="142"/>
        <v>0</v>
      </c>
      <c r="O122" s="88">
        <f t="shared" si="142"/>
        <v>0</v>
      </c>
      <c r="P122" s="88">
        <f t="shared" si="142"/>
        <v>0</v>
      </c>
      <c r="Q122" s="88">
        <f t="shared" si="142"/>
        <v>0</v>
      </c>
      <c r="R122" s="88">
        <f t="shared" si="142"/>
        <v>0</v>
      </c>
      <c r="S122" s="88">
        <f t="shared" si="142"/>
        <v>0</v>
      </c>
      <c r="T122" s="88">
        <f t="shared" si="142"/>
        <v>0</v>
      </c>
      <c r="U122" s="88">
        <f t="shared" si="142"/>
        <v>0</v>
      </c>
      <c r="V122" s="88">
        <f t="shared" si="142"/>
        <v>0</v>
      </c>
      <c r="W122" s="88">
        <f t="shared" si="142"/>
        <v>0</v>
      </c>
      <c r="X122" s="88">
        <f t="shared" si="142"/>
        <v>0</v>
      </c>
      <c r="Y122" s="88">
        <f t="shared" si="142"/>
        <v>0</v>
      </c>
    </row>
    <row r="123" spans="3:27" x14ac:dyDescent="0.35">
      <c r="C123" s="78"/>
      <c r="D123"/>
      <c r="F123" t="s">
        <v>199</v>
      </c>
      <c r="G123" t="s">
        <v>727</v>
      </c>
      <c r="J123" s="88">
        <f t="shared" ref="J123:Y123" si="143">SUMIFS($J93:$Y93,$J$63:$Y$63,J$63)</f>
        <v>5636965.7372800522</v>
      </c>
      <c r="K123" s="88">
        <f t="shared" si="143"/>
        <v>0</v>
      </c>
      <c r="L123" s="88">
        <f t="shared" si="143"/>
        <v>5636965.7372800522</v>
      </c>
      <c r="M123" s="88">
        <f t="shared" si="143"/>
        <v>0</v>
      </c>
      <c r="N123" s="88">
        <f t="shared" si="143"/>
        <v>0</v>
      </c>
      <c r="O123" s="88">
        <f t="shared" si="143"/>
        <v>0</v>
      </c>
      <c r="P123" s="88">
        <f t="shared" si="143"/>
        <v>0</v>
      </c>
      <c r="Q123" s="88">
        <f t="shared" si="143"/>
        <v>0</v>
      </c>
      <c r="R123" s="88">
        <f t="shared" si="143"/>
        <v>0</v>
      </c>
      <c r="S123" s="88">
        <f t="shared" si="143"/>
        <v>0</v>
      </c>
      <c r="T123" s="88">
        <f t="shared" si="143"/>
        <v>0</v>
      </c>
      <c r="U123" s="88">
        <f t="shared" si="143"/>
        <v>0</v>
      </c>
      <c r="V123" s="88">
        <f t="shared" si="143"/>
        <v>0</v>
      </c>
      <c r="W123" s="88">
        <f t="shared" si="143"/>
        <v>0</v>
      </c>
      <c r="X123" s="88">
        <f t="shared" si="143"/>
        <v>0</v>
      </c>
      <c r="Y123" s="88">
        <f t="shared" si="143"/>
        <v>0</v>
      </c>
    </row>
    <row r="124" spans="3:27" x14ac:dyDescent="0.35">
      <c r="C124" s="78"/>
      <c r="D124"/>
      <c r="F124" t="s">
        <v>375</v>
      </c>
      <c r="G124" t="s">
        <v>727</v>
      </c>
      <c r="J124" s="69"/>
      <c r="K124" s="69"/>
      <c r="L124" s="69"/>
      <c r="M124" s="69"/>
      <c r="N124" s="69"/>
      <c r="O124" s="69"/>
      <c r="P124" s="69"/>
      <c r="Q124" s="69"/>
      <c r="R124" s="69"/>
      <c r="S124" s="69"/>
      <c r="T124" s="69"/>
      <c r="U124" s="69"/>
      <c r="V124" s="69"/>
      <c r="W124" s="69"/>
      <c r="X124" s="69"/>
      <c r="Y124" s="69"/>
    </row>
    <row r="125" spans="3:27" x14ac:dyDescent="0.35">
      <c r="C125" s="78"/>
      <c r="D125"/>
      <c r="F125" s="28" t="s">
        <v>376</v>
      </c>
      <c r="G125" s="28" t="s">
        <v>727</v>
      </c>
      <c r="H125" s="28"/>
      <c r="I125" s="28"/>
      <c r="J125" s="71"/>
      <c r="K125" s="71"/>
      <c r="L125" s="71"/>
      <c r="M125" s="71"/>
      <c r="N125" s="71"/>
      <c r="O125" s="71"/>
      <c r="P125" s="71"/>
      <c r="Q125" s="71"/>
      <c r="R125" s="71"/>
      <c r="S125" s="71"/>
      <c r="T125" s="71"/>
      <c r="U125" s="71"/>
      <c r="V125" s="71"/>
      <c r="W125" s="71"/>
      <c r="X125" s="71"/>
      <c r="Y125" s="71"/>
    </row>
    <row r="126" spans="3:27" x14ac:dyDescent="0.35">
      <c r="C126" s="78"/>
      <c r="J126" s="79"/>
      <c r="K126" s="79"/>
      <c r="L126" s="79"/>
      <c r="M126" s="79"/>
      <c r="N126" s="79"/>
      <c r="O126" s="79"/>
      <c r="P126" s="79"/>
      <c r="Q126" s="79"/>
      <c r="R126" s="79"/>
      <c r="S126" s="79"/>
      <c r="T126" s="79"/>
      <c r="U126" s="79"/>
      <c r="V126" s="79"/>
      <c r="W126" s="79"/>
      <c r="X126" s="79"/>
      <c r="Y126" s="79"/>
    </row>
    <row r="127" spans="3:27" x14ac:dyDescent="0.35">
      <c r="C127" s="26" t="str">
        <f ca="1">INDEX('Version control'!$H$38:$H$61,MATCH($A$1,'Version control'!$F$38:$F$61,0),1)&amp;"-G: Fixed charges, by network level"</f>
        <v>Section 114-G: Fixed charges, by network level</v>
      </c>
      <c r="D127" s="26"/>
      <c r="E127" s="26"/>
      <c r="F127" s="26"/>
      <c r="G127" s="26"/>
      <c r="H127" s="26"/>
      <c r="I127" s="26"/>
      <c r="J127" s="80"/>
      <c r="K127" s="80"/>
      <c r="L127" s="80"/>
      <c r="M127" s="80"/>
      <c r="N127" s="80"/>
      <c r="O127" s="80"/>
      <c r="P127" s="80"/>
      <c r="Q127" s="80"/>
      <c r="R127" s="80"/>
      <c r="S127" s="80"/>
      <c r="T127" s="80"/>
      <c r="U127" s="80"/>
      <c r="V127" s="80"/>
      <c r="W127" s="80"/>
      <c r="X127" s="80"/>
      <c r="Y127" s="80"/>
      <c r="Z127" s="26"/>
      <c r="AA127" s="26"/>
    </row>
    <row r="128" spans="3:27" x14ac:dyDescent="0.35">
      <c r="D128"/>
      <c r="E128" s="27"/>
    </row>
    <row r="129" spans="3:27" x14ac:dyDescent="0.35">
      <c r="D129"/>
      <c r="E129" t="s">
        <v>728</v>
      </c>
      <c r="G129" t="s">
        <v>212</v>
      </c>
      <c r="J129" s="79">
        <f t="shared" ref="J129:Y129" si="144">SUMIFS($J$18:$Y$18,$J$63:$Y$63,J63)</f>
        <v>3193032.3860553931</v>
      </c>
      <c r="K129" s="79">
        <f t="shared" si="144"/>
        <v>74195.860583424685</v>
      </c>
      <c r="L129" s="79">
        <f t="shared" si="144"/>
        <v>3193032.3860553931</v>
      </c>
      <c r="M129" s="79">
        <f t="shared" si="144"/>
        <v>74195.860583424685</v>
      </c>
      <c r="N129" s="79">
        <f t="shared" si="144"/>
        <v>74195.860583424685</v>
      </c>
      <c r="O129" s="79">
        <f t="shared" si="144"/>
        <v>74195.860583424685</v>
      </c>
      <c r="P129" s="79">
        <f t="shared" si="144"/>
        <v>74195.860583424685</v>
      </c>
      <c r="Q129" s="79">
        <f t="shared" si="144"/>
        <v>74195.860583424685</v>
      </c>
      <c r="R129" s="79">
        <f t="shared" si="144"/>
        <v>74195.860583424685</v>
      </c>
      <c r="S129" s="79">
        <f t="shared" si="144"/>
        <v>74195.860583424685</v>
      </c>
      <c r="T129" s="79">
        <f t="shared" si="144"/>
        <v>74195.860583424685</v>
      </c>
      <c r="U129" s="79">
        <f t="shared" si="144"/>
        <v>74195.860583424685</v>
      </c>
      <c r="V129" s="79">
        <f t="shared" si="144"/>
        <v>74195.860583424685</v>
      </c>
      <c r="W129" s="79">
        <f t="shared" si="144"/>
        <v>74195.860583424685</v>
      </c>
      <c r="X129" s="79">
        <f t="shared" si="144"/>
        <v>74195.860583424685</v>
      </c>
      <c r="Y129" s="79">
        <f t="shared" si="144"/>
        <v>74195.860583424685</v>
      </c>
    </row>
    <row r="130" spans="3:27" x14ac:dyDescent="0.35">
      <c r="D130"/>
      <c r="E130"/>
    </row>
    <row r="131" spans="3:27" x14ac:dyDescent="0.35">
      <c r="C131" s="78"/>
      <c r="E131" s="27" t="s">
        <v>620</v>
      </c>
      <c r="I131" t="s">
        <v>154</v>
      </c>
      <c r="J131" s="79"/>
      <c r="K131" s="79"/>
      <c r="L131" s="79"/>
      <c r="M131" s="79"/>
      <c r="N131" s="79"/>
      <c r="O131" s="79"/>
      <c r="P131" s="79"/>
      <c r="Q131" s="79"/>
      <c r="R131" s="79"/>
      <c r="S131" s="79"/>
      <c r="T131" s="79"/>
      <c r="U131" s="79"/>
      <c r="V131" s="79"/>
      <c r="W131" s="79"/>
      <c r="X131" s="79"/>
      <c r="Y131" s="79"/>
      <c r="AA131" t="s">
        <v>725</v>
      </c>
    </row>
    <row r="132" spans="3:27" x14ac:dyDescent="0.35">
      <c r="C132" s="78"/>
      <c r="E132" s="24"/>
      <c r="F132" s="19" t="s">
        <v>189</v>
      </c>
      <c r="G132" s="19" t="s">
        <v>270</v>
      </c>
      <c r="H132" s="19"/>
      <c r="I132" s="19"/>
      <c r="J132" s="116">
        <f t="shared" ref="J132:K132" si="145">IF(J$129 = 0, 0, J100 / J$129)</f>
        <v>0</v>
      </c>
      <c r="K132" s="116">
        <f t="shared" si="145"/>
        <v>0</v>
      </c>
      <c r="L132" s="116">
        <f t="shared" ref="L132:M132" si="146">IF(L$129 = 0, 0, L100 / L$129)</f>
        <v>0</v>
      </c>
      <c r="M132" s="116">
        <f t="shared" si="146"/>
        <v>0</v>
      </c>
      <c r="N132" s="116">
        <f t="shared" ref="N132:P132" si="147">IF(N$129 = 0, 0, N100 / N$129)</f>
        <v>0</v>
      </c>
      <c r="O132" s="116">
        <f t="shared" si="147"/>
        <v>0</v>
      </c>
      <c r="P132" s="116">
        <f t="shared" si="147"/>
        <v>0</v>
      </c>
      <c r="Q132" s="116">
        <f t="shared" ref="Q132:S132" si="148">IF(Q$129 = 0, 0, Q100 / Q$129)</f>
        <v>0</v>
      </c>
      <c r="R132" s="116">
        <f t="shared" si="148"/>
        <v>0</v>
      </c>
      <c r="S132" s="116">
        <f t="shared" si="148"/>
        <v>0</v>
      </c>
      <c r="T132" s="116">
        <f t="shared" ref="T132:U132" si="149">IF(T$129 = 0, 0, T100 / T$129)</f>
        <v>0</v>
      </c>
      <c r="U132" s="116">
        <f t="shared" si="149"/>
        <v>0</v>
      </c>
      <c r="V132" s="116">
        <f t="shared" ref="V132:W132" si="150">IF(V$129 = 0, 0, V100 / V$129)</f>
        <v>0</v>
      </c>
      <c r="W132" s="116">
        <f t="shared" si="150"/>
        <v>0</v>
      </c>
      <c r="X132" s="116">
        <f t="shared" ref="X132:Y132" si="151">IF(X$129 = 0, 0, X100 / X$129)</f>
        <v>0</v>
      </c>
      <c r="Y132" s="116">
        <f t="shared" si="151"/>
        <v>0</v>
      </c>
    </row>
    <row r="133" spans="3:27" x14ac:dyDescent="0.35">
      <c r="C133" s="78"/>
      <c r="E133" s="24"/>
      <c r="F133" t="s">
        <v>191</v>
      </c>
      <c r="G133" t="s">
        <v>270</v>
      </c>
      <c r="J133" s="88">
        <f t="shared" ref="J133:K133" si="152">IF(J$129 = 0, 0, J101 / J$129)</f>
        <v>0</v>
      </c>
      <c r="K133" s="88">
        <f t="shared" si="152"/>
        <v>0</v>
      </c>
      <c r="L133" s="88">
        <f t="shared" ref="L133:M133" si="153">IF(L$129 = 0, 0, L101 / L$129)</f>
        <v>0</v>
      </c>
      <c r="M133" s="88">
        <f t="shared" si="153"/>
        <v>0</v>
      </c>
      <c r="N133" s="88">
        <f t="shared" ref="N133:P133" si="154">IF(N$129 = 0, 0, N101 / N$129)</f>
        <v>0</v>
      </c>
      <c r="O133" s="88">
        <f t="shared" si="154"/>
        <v>0</v>
      </c>
      <c r="P133" s="88">
        <f t="shared" si="154"/>
        <v>0</v>
      </c>
      <c r="Q133" s="88">
        <f t="shared" ref="Q133:S133" si="155">IF(Q$129 = 0, 0, Q101 / Q$129)</f>
        <v>0</v>
      </c>
      <c r="R133" s="88">
        <f t="shared" si="155"/>
        <v>0</v>
      </c>
      <c r="S133" s="88">
        <f t="shared" si="155"/>
        <v>0</v>
      </c>
      <c r="T133" s="88">
        <f t="shared" ref="T133:U133" si="156">IF(T$129 = 0, 0, T101 / T$129)</f>
        <v>0</v>
      </c>
      <c r="U133" s="88">
        <f t="shared" si="156"/>
        <v>0</v>
      </c>
      <c r="V133" s="88">
        <f t="shared" ref="V133:W133" si="157">IF(V$129 = 0, 0, V101 / V$129)</f>
        <v>0</v>
      </c>
      <c r="W133" s="88">
        <f t="shared" si="157"/>
        <v>0</v>
      </c>
      <c r="X133" s="88">
        <f t="shared" ref="X133:Y133" si="158">IF(X$129 = 0, 0, X101 / X$129)</f>
        <v>0</v>
      </c>
      <c r="Y133" s="88">
        <f t="shared" si="158"/>
        <v>0</v>
      </c>
    </row>
    <row r="134" spans="3:27" x14ac:dyDescent="0.35">
      <c r="C134" s="78"/>
      <c r="E134" s="24"/>
      <c r="F134" t="s">
        <v>192</v>
      </c>
      <c r="G134" t="s">
        <v>270</v>
      </c>
      <c r="J134" s="88">
        <f t="shared" ref="J134:K134" si="159">IF(J$129 = 0, 0, J102 / J$129)</f>
        <v>0</v>
      </c>
      <c r="K134" s="88">
        <f t="shared" si="159"/>
        <v>0</v>
      </c>
      <c r="L134" s="88">
        <f t="shared" ref="L134:M134" si="160">IF(L$129 = 0, 0, L102 / L$129)</f>
        <v>0</v>
      </c>
      <c r="M134" s="88">
        <f t="shared" si="160"/>
        <v>0</v>
      </c>
      <c r="N134" s="88">
        <f t="shared" ref="N134:P134" si="161">IF(N$129 = 0, 0, N102 / N$129)</f>
        <v>0</v>
      </c>
      <c r="O134" s="88">
        <f t="shared" si="161"/>
        <v>0</v>
      </c>
      <c r="P134" s="88">
        <f t="shared" si="161"/>
        <v>0</v>
      </c>
      <c r="Q134" s="88">
        <f t="shared" ref="Q134:S134" si="162">IF(Q$129 = 0, 0, Q102 / Q$129)</f>
        <v>0</v>
      </c>
      <c r="R134" s="88">
        <f t="shared" si="162"/>
        <v>0</v>
      </c>
      <c r="S134" s="88">
        <f t="shared" si="162"/>
        <v>0</v>
      </c>
      <c r="T134" s="88">
        <f t="shared" ref="T134:U134" si="163">IF(T$129 = 0, 0, T102 / T$129)</f>
        <v>0</v>
      </c>
      <c r="U134" s="88">
        <f t="shared" si="163"/>
        <v>0</v>
      </c>
      <c r="V134" s="88">
        <f t="shared" ref="V134:W134" si="164">IF(V$129 = 0, 0, V102 / V$129)</f>
        <v>0</v>
      </c>
      <c r="W134" s="88">
        <f t="shared" si="164"/>
        <v>0</v>
      </c>
      <c r="X134" s="88">
        <f t="shared" ref="X134:Y134" si="165">IF(X$129 = 0, 0, X102 / X$129)</f>
        <v>0</v>
      </c>
      <c r="Y134" s="88">
        <f t="shared" si="165"/>
        <v>0</v>
      </c>
    </row>
    <row r="135" spans="3:27" x14ac:dyDescent="0.35">
      <c r="C135" s="78"/>
      <c r="E135" s="24"/>
      <c r="F135" t="s">
        <v>193</v>
      </c>
      <c r="G135" t="s">
        <v>270</v>
      </c>
      <c r="J135" s="88">
        <f t="shared" ref="J135:K135" si="166">IF(J$129 = 0, 0, J103 / J$129)</f>
        <v>0</v>
      </c>
      <c r="K135" s="88">
        <f t="shared" si="166"/>
        <v>0</v>
      </c>
      <c r="L135" s="88">
        <f t="shared" ref="L135:M135" si="167">IF(L$129 = 0, 0, L103 / L$129)</f>
        <v>0</v>
      </c>
      <c r="M135" s="88">
        <f t="shared" si="167"/>
        <v>0</v>
      </c>
      <c r="N135" s="88">
        <f t="shared" ref="N135:P135" si="168">IF(N$129 = 0, 0, N103 / N$129)</f>
        <v>0</v>
      </c>
      <c r="O135" s="88">
        <f t="shared" si="168"/>
        <v>0</v>
      </c>
      <c r="P135" s="88">
        <f t="shared" si="168"/>
        <v>0</v>
      </c>
      <c r="Q135" s="88">
        <f t="shared" ref="Q135:S135" si="169">IF(Q$129 = 0, 0, Q103 / Q$129)</f>
        <v>0</v>
      </c>
      <c r="R135" s="88">
        <f t="shared" si="169"/>
        <v>0</v>
      </c>
      <c r="S135" s="88">
        <f t="shared" si="169"/>
        <v>0</v>
      </c>
      <c r="T135" s="88">
        <f t="shared" ref="T135:U135" si="170">IF(T$129 = 0, 0, T103 / T$129)</f>
        <v>0</v>
      </c>
      <c r="U135" s="88">
        <f t="shared" si="170"/>
        <v>0</v>
      </c>
      <c r="V135" s="88">
        <f t="shared" ref="V135:W135" si="171">IF(V$129 = 0, 0, V103 / V$129)</f>
        <v>0</v>
      </c>
      <c r="W135" s="88">
        <f t="shared" si="171"/>
        <v>0</v>
      </c>
      <c r="X135" s="88">
        <f t="shared" ref="X135:Y135" si="172">IF(X$129 = 0, 0, X103 / X$129)</f>
        <v>0</v>
      </c>
      <c r="Y135" s="88">
        <f t="shared" si="172"/>
        <v>0</v>
      </c>
    </row>
    <row r="136" spans="3:27" x14ac:dyDescent="0.35">
      <c r="C136" s="78"/>
      <c r="E136" s="24"/>
      <c r="F136" t="s">
        <v>194</v>
      </c>
      <c r="G136" t="s">
        <v>270</v>
      </c>
      <c r="J136" s="88">
        <f t="shared" ref="J136:K136" si="173">IF(J$129 = 0, 0, J104 / J$129)</f>
        <v>0</v>
      </c>
      <c r="K136" s="88">
        <f t="shared" si="173"/>
        <v>0</v>
      </c>
      <c r="L136" s="88">
        <f t="shared" ref="L136:M136" si="174">IF(L$129 = 0, 0, L104 / L$129)</f>
        <v>0</v>
      </c>
      <c r="M136" s="88">
        <f t="shared" si="174"/>
        <v>0</v>
      </c>
      <c r="N136" s="88">
        <f t="shared" ref="N136:P136" si="175">IF(N$129 = 0, 0, N104 / N$129)</f>
        <v>0</v>
      </c>
      <c r="O136" s="88">
        <f t="shared" si="175"/>
        <v>0</v>
      </c>
      <c r="P136" s="88">
        <f t="shared" si="175"/>
        <v>0</v>
      </c>
      <c r="Q136" s="88">
        <f t="shared" ref="Q136:S136" si="176">IF(Q$129 = 0, 0, Q104 / Q$129)</f>
        <v>0</v>
      </c>
      <c r="R136" s="88">
        <f t="shared" si="176"/>
        <v>0</v>
      </c>
      <c r="S136" s="88">
        <f t="shared" si="176"/>
        <v>0</v>
      </c>
      <c r="T136" s="88">
        <f t="shared" ref="T136:U136" si="177">IF(T$129 = 0, 0, T104 / T$129)</f>
        <v>0</v>
      </c>
      <c r="U136" s="88">
        <f t="shared" si="177"/>
        <v>0</v>
      </c>
      <c r="V136" s="88">
        <f t="shared" ref="V136:W136" si="178">IF(V$129 = 0, 0, V104 / V$129)</f>
        <v>0</v>
      </c>
      <c r="W136" s="88">
        <f t="shared" si="178"/>
        <v>0</v>
      </c>
      <c r="X136" s="88">
        <f t="shared" ref="X136:Y136" si="179">IF(X$129 = 0, 0, X104 / X$129)</f>
        <v>0</v>
      </c>
      <c r="Y136" s="88">
        <f t="shared" si="179"/>
        <v>0</v>
      </c>
    </row>
    <row r="137" spans="3:27" x14ac:dyDescent="0.35">
      <c r="C137" s="78"/>
      <c r="E137" s="24"/>
      <c r="F137" t="s">
        <v>195</v>
      </c>
      <c r="G137" t="s">
        <v>270</v>
      </c>
      <c r="J137" s="88">
        <f t="shared" ref="J137:K137" si="180">IF(J$129 = 0, 0, J105 / J$129)</f>
        <v>0</v>
      </c>
      <c r="K137" s="88">
        <f t="shared" si="180"/>
        <v>0</v>
      </c>
      <c r="L137" s="88">
        <f t="shared" ref="L137:M137" si="181">IF(L$129 = 0, 0, L105 / L$129)</f>
        <v>0</v>
      </c>
      <c r="M137" s="88">
        <f t="shared" si="181"/>
        <v>0</v>
      </c>
      <c r="N137" s="88">
        <f t="shared" ref="N137:P137" si="182">IF(N$129 = 0, 0, N105 / N$129)</f>
        <v>0</v>
      </c>
      <c r="O137" s="88">
        <f t="shared" si="182"/>
        <v>0</v>
      </c>
      <c r="P137" s="88">
        <f t="shared" si="182"/>
        <v>0</v>
      </c>
      <c r="Q137" s="88">
        <f t="shared" ref="Q137:S137" si="183">IF(Q$129 = 0, 0, Q105 / Q$129)</f>
        <v>0</v>
      </c>
      <c r="R137" s="88">
        <f t="shared" si="183"/>
        <v>0</v>
      </c>
      <c r="S137" s="88">
        <f t="shared" si="183"/>
        <v>0</v>
      </c>
      <c r="T137" s="88">
        <f t="shared" ref="T137:U137" si="184">IF(T$129 = 0, 0, T105 / T$129)</f>
        <v>0</v>
      </c>
      <c r="U137" s="88">
        <f t="shared" si="184"/>
        <v>0</v>
      </c>
      <c r="V137" s="88">
        <f t="shared" ref="V137:W137" si="185">IF(V$129 = 0, 0, V105 / V$129)</f>
        <v>0</v>
      </c>
      <c r="W137" s="88">
        <f t="shared" si="185"/>
        <v>0</v>
      </c>
      <c r="X137" s="88">
        <f t="shared" ref="X137:Y137" si="186">IF(X$129 = 0, 0, X105 / X$129)</f>
        <v>0</v>
      </c>
      <c r="Y137" s="88">
        <f t="shared" si="186"/>
        <v>0</v>
      </c>
    </row>
    <row r="138" spans="3:27" x14ac:dyDescent="0.35">
      <c r="C138" s="78"/>
      <c r="E138" s="24"/>
      <c r="F138" t="s">
        <v>196</v>
      </c>
      <c r="G138" t="s">
        <v>270</v>
      </c>
      <c r="J138" s="88">
        <f t="shared" ref="J138:K138" si="187">IF(J$129 = 0, 0, J106 / J$129)</f>
        <v>0</v>
      </c>
      <c r="K138" s="88">
        <f t="shared" si="187"/>
        <v>0</v>
      </c>
      <c r="L138" s="88">
        <f t="shared" ref="L138:M138" si="188">IF(L$129 = 0, 0, L106 / L$129)</f>
        <v>0</v>
      </c>
      <c r="M138" s="88">
        <f t="shared" si="188"/>
        <v>0</v>
      </c>
      <c r="N138" s="88">
        <f t="shared" ref="N138:P138" si="189">IF(N$129 = 0, 0, N106 / N$129)</f>
        <v>0</v>
      </c>
      <c r="O138" s="88">
        <f t="shared" si="189"/>
        <v>0</v>
      </c>
      <c r="P138" s="88">
        <f t="shared" si="189"/>
        <v>0</v>
      </c>
      <c r="Q138" s="88">
        <f t="shared" ref="Q138:S138" si="190">IF(Q$129 = 0, 0, Q106 / Q$129)</f>
        <v>0</v>
      </c>
      <c r="R138" s="88">
        <f t="shared" si="190"/>
        <v>0</v>
      </c>
      <c r="S138" s="88">
        <f t="shared" si="190"/>
        <v>0</v>
      </c>
      <c r="T138" s="88">
        <f t="shared" ref="T138:U138" si="191">IF(T$129 = 0, 0, T106 / T$129)</f>
        <v>0</v>
      </c>
      <c r="U138" s="88">
        <f t="shared" si="191"/>
        <v>0</v>
      </c>
      <c r="V138" s="88">
        <f t="shared" ref="V138:W138" si="192">IF(V$129 = 0, 0, V106 / V$129)</f>
        <v>0</v>
      </c>
      <c r="W138" s="88">
        <f t="shared" si="192"/>
        <v>0</v>
      </c>
      <c r="X138" s="88">
        <f t="shared" ref="X138:Y138" si="193">IF(X$129 = 0, 0, X106 / X$129)</f>
        <v>0</v>
      </c>
      <c r="Y138" s="88">
        <f t="shared" si="193"/>
        <v>0</v>
      </c>
    </row>
    <row r="139" spans="3:27" x14ac:dyDescent="0.35">
      <c r="C139" s="78"/>
      <c r="E139" s="24"/>
      <c r="F139" t="s">
        <v>197</v>
      </c>
      <c r="G139" t="s">
        <v>270</v>
      </c>
      <c r="J139" s="88">
        <f t="shared" ref="J139:K139" si="194">IF(J$129 = 0, 0, J107 / J$129)</f>
        <v>0</v>
      </c>
      <c r="K139" s="88">
        <f t="shared" si="194"/>
        <v>0</v>
      </c>
      <c r="L139" s="88">
        <f t="shared" ref="L139:M139" si="195">IF(L$129 = 0, 0, L107 / L$129)</f>
        <v>0</v>
      </c>
      <c r="M139" s="88">
        <f t="shared" si="195"/>
        <v>0</v>
      </c>
      <c r="N139" s="88">
        <f t="shared" ref="N139:P139" si="196">IF(N$129 = 0, 0, N107 / N$129)</f>
        <v>0</v>
      </c>
      <c r="O139" s="88">
        <f t="shared" si="196"/>
        <v>0</v>
      </c>
      <c r="P139" s="88">
        <f t="shared" si="196"/>
        <v>0</v>
      </c>
      <c r="Q139" s="88">
        <f t="shared" ref="Q139:S139" si="197">IF(Q$129 = 0, 0, Q107 / Q$129)</f>
        <v>0</v>
      </c>
      <c r="R139" s="88">
        <f t="shared" si="197"/>
        <v>0</v>
      </c>
      <c r="S139" s="88">
        <f t="shared" si="197"/>
        <v>0</v>
      </c>
      <c r="T139" s="88">
        <f t="shared" ref="T139:U139" si="198">IF(T$129 = 0, 0, T107 / T$129)</f>
        <v>0</v>
      </c>
      <c r="U139" s="88">
        <f t="shared" si="198"/>
        <v>0</v>
      </c>
      <c r="V139" s="88">
        <f t="shared" ref="V139:W139" si="199">IF(V$129 = 0, 0, V107 / V$129)</f>
        <v>0</v>
      </c>
      <c r="W139" s="88">
        <f t="shared" si="199"/>
        <v>0</v>
      </c>
      <c r="X139" s="88">
        <f t="shared" ref="X139:Y139" si="200">IF(X$129 = 0, 0, X107 / X$129)</f>
        <v>0</v>
      </c>
      <c r="Y139" s="88">
        <f t="shared" si="200"/>
        <v>0</v>
      </c>
    </row>
    <row r="140" spans="3:27" x14ac:dyDescent="0.35">
      <c r="C140" s="78"/>
      <c r="E140" s="24"/>
      <c r="F140" t="s">
        <v>198</v>
      </c>
      <c r="G140" t="s">
        <v>270</v>
      </c>
      <c r="J140" s="88">
        <f t="shared" ref="J140:K140" si="201">IF(J$129 = 0, 0, J108 / J$129)</f>
        <v>0</v>
      </c>
      <c r="K140" s="88">
        <f t="shared" si="201"/>
        <v>0</v>
      </c>
      <c r="L140" s="88">
        <f t="shared" ref="L140:M140" si="202">IF(L$129 = 0, 0, L108 / L$129)</f>
        <v>0</v>
      </c>
      <c r="M140" s="88">
        <f t="shared" si="202"/>
        <v>0</v>
      </c>
      <c r="N140" s="88">
        <f t="shared" ref="N140:P140" si="203">IF(N$129 = 0, 0, N108 / N$129)</f>
        <v>0</v>
      </c>
      <c r="O140" s="88">
        <f t="shared" si="203"/>
        <v>0</v>
      </c>
      <c r="P140" s="88">
        <f t="shared" si="203"/>
        <v>0</v>
      </c>
      <c r="Q140" s="88">
        <f t="shared" ref="Q140:S140" si="204">IF(Q$129 = 0, 0, Q108 / Q$129)</f>
        <v>0</v>
      </c>
      <c r="R140" s="88">
        <f t="shared" si="204"/>
        <v>0</v>
      </c>
      <c r="S140" s="88">
        <f t="shared" si="204"/>
        <v>0</v>
      </c>
      <c r="T140" s="88">
        <f t="shared" ref="T140:U140" si="205">IF(T$129 = 0, 0, T108 / T$129)</f>
        <v>0</v>
      </c>
      <c r="U140" s="88">
        <f t="shared" si="205"/>
        <v>0</v>
      </c>
      <c r="V140" s="88">
        <f t="shared" ref="V140:W140" si="206">IF(V$129 = 0, 0, V108 / V$129)</f>
        <v>0</v>
      </c>
      <c r="W140" s="88">
        <f t="shared" si="206"/>
        <v>0</v>
      </c>
      <c r="X140" s="88">
        <f t="shared" ref="X140:Y140" si="207">IF(X$129 = 0, 0, X108 / X$129)</f>
        <v>0</v>
      </c>
      <c r="Y140" s="88">
        <f t="shared" si="207"/>
        <v>0</v>
      </c>
    </row>
    <row r="141" spans="3:27" x14ac:dyDescent="0.35">
      <c r="C141" s="78"/>
      <c r="E141" s="24"/>
      <c r="F141" t="s">
        <v>199</v>
      </c>
      <c r="G141" t="s">
        <v>270</v>
      </c>
      <c r="J141" s="88">
        <f t="shared" ref="J141:K141" si="208">IF(J$129 = 0, 0, J109 / J$129)</f>
        <v>0.11671875544911613</v>
      </c>
      <c r="K141" s="88">
        <f t="shared" si="208"/>
        <v>0</v>
      </c>
      <c r="L141" s="88">
        <f t="shared" ref="L141:M141" si="209">IF(L$129 = 0, 0, L109 / L$129)</f>
        <v>0.11671875544911613</v>
      </c>
      <c r="M141" s="88">
        <f t="shared" si="209"/>
        <v>0</v>
      </c>
      <c r="N141" s="88">
        <f t="shared" ref="N141:P141" si="210">IF(N$129 = 0, 0, N109 / N$129)</f>
        <v>0</v>
      </c>
      <c r="O141" s="88">
        <f t="shared" si="210"/>
        <v>0</v>
      </c>
      <c r="P141" s="88">
        <f t="shared" si="210"/>
        <v>0</v>
      </c>
      <c r="Q141" s="88">
        <f t="shared" ref="Q141:S141" si="211">IF(Q$129 = 0, 0, Q109 / Q$129)</f>
        <v>0</v>
      </c>
      <c r="R141" s="88">
        <f t="shared" si="211"/>
        <v>0</v>
      </c>
      <c r="S141" s="88">
        <f t="shared" si="211"/>
        <v>0</v>
      </c>
      <c r="T141" s="88">
        <f t="shared" ref="T141:U141" si="212">IF(T$129 = 0, 0, T109 / T$129)</f>
        <v>0</v>
      </c>
      <c r="U141" s="88">
        <f t="shared" si="212"/>
        <v>0</v>
      </c>
      <c r="V141" s="88">
        <f t="shared" ref="V141:W141" si="213">IF(V$129 = 0, 0, V109 / V$129)</f>
        <v>0</v>
      </c>
      <c r="W141" s="88">
        <f t="shared" si="213"/>
        <v>0</v>
      </c>
      <c r="X141" s="88">
        <f t="shared" ref="X141:Y141" si="214">IF(X$129 = 0, 0, X109 / X$129)</f>
        <v>0</v>
      </c>
      <c r="Y141" s="88">
        <f t="shared" si="214"/>
        <v>0</v>
      </c>
    </row>
    <row r="142" spans="3:27" x14ac:dyDescent="0.35">
      <c r="C142" s="78"/>
      <c r="E142" s="24"/>
      <c r="F142" s="19" t="s">
        <v>375</v>
      </c>
      <c r="G142" s="19" t="s">
        <v>270</v>
      </c>
      <c r="H142" s="19"/>
      <c r="I142" s="19"/>
      <c r="J142" s="73"/>
      <c r="K142" s="73"/>
      <c r="L142" s="73"/>
      <c r="M142" s="73"/>
      <c r="N142" s="73"/>
      <c r="O142" s="73"/>
      <c r="P142" s="73"/>
      <c r="Q142" s="73"/>
      <c r="R142" s="73"/>
      <c r="S142" s="73"/>
      <c r="T142" s="73"/>
      <c r="U142" s="73"/>
      <c r="V142" s="73"/>
      <c r="W142" s="73"/>
      <c r="X142" s="73"/>
      <c r="Y142" s="73"/>
    </row>
    <row r="143" spans="3:27" x14ac:dyDescent="0.35">
      <c r="C143" s="78"/>
      <c r="E143" s="24"/>
      <c r="F143" s="28" t="s">
        <v>376</v>
      </c>
      <c r="G143" s="28" t="s">
        <v>270</v>
      </c>
      <c r="H143" s="28"/>
      <c r="I143" s="28"/>
      <c r="J143" s="71"/>
      <c r="K143" s="71"/>
      <c r="L143" s="71"/>
      <c r="M143" s="71"/>
      <c r="N143" s="71"/>
      <c r="O143" s="71"/>
      <c r="P143" s="71"/>
      <c r="Q143" s="71"/>
      <c r="R143" s="71"/>
      <c r="S143" s="71"/>
      <c r="T143" s="71"/>
      <c r="U143" s="71"/>
      <c r="V143" s="71"/>
      <c r="W143" s="71"/>
      <c r="X143" s="71"/>
      <c r="Y143" s="71"/>
    </row>
    <row r="144" spans="3:27" x14ac:dyDescent="0.35">
      <c r="C144" s="78"/>
      <c r="D144"/>
      <c r="E144" s="24"/>
      <c r="J144" s="79"/>
      <c r="K144" s="79"/>
      <c r="L144" s="79"/>
      <c r="M144" s="79"/>
      <c r="N144" s="79"/>
      <c r="O144" s="79"/>
      <c r="P144" s="79"/>
      <c r="Q144" s="79"/>
      <c r="R144" s="79"/>
      <c r="S144" s="79"/>
      <c r="T144" s="79"/>
      <c r="U144" s="79"/>
      <c r="V144" s="79"/>
      <c r="W144" s="79"/>
      <c r="X144" s="79"/>
      <c r="Y144" s="79"/>
    </row>
    <row r="145" spans="3:27" x14ac:dyDescent="0.35">
      <c r="C145" s="78"/>
      <c r="E145" s="27" t="s">
        <v>621</v>
      </c>
      <c r="J145" s="79"/>
      <c r="K145" s="79"/>
      <c r="L145" s="79"/>
      <c r="M145" s="79"/>
      <c r="N145" s="79"/>
      <c r="O145" s="79"/>
      <c r="P145" s="79"/>
      <c r="Q145" s="79"/>
      <c r="R145" s="79"/>
      <c r="S145" s="79"/>
      <c r="T145" s="79"/>
      <c r="U145" s="79"/>
      <c r="V145" s="79"/>
      <c r="W145" s="79"/>
      <c r="X145" s="79"/>
      <c r="Y145" s="79"/>
    </row>
    <row r="146" spans="3:27" x14ac:dyDescent="0.35">
      <c r="C146" s="78"/>
      <c r="F146" s="19" t="s">
        <v>189</v>
      </c>
      <c r="G146" s="19" t="s">
        <v>270</v>
      </c>
      <c r="H146" s="19"/>
      <c r="I146" s="19"/>
      <c r="J146" s="116">
        <f t="shared" ref="J146:K146" si="215">IF(J$129 = 0, 0, J114 / J$129)</f>
        <v>0</v>
      </c>
      <c r="K146" s="116">
        <f t="shared" si="215"/>
        <v>0</v>
      </c>
      <c r="L146" s="116">
        <f t="shared" ref="L146:M146" si="216">IF(L$129 = 0, 0, L114 / L$129)</f>
        <v>0</v>
      </c>
      <c r="M146" s="116">
        <f t="shared" si="216"/>
        <v>0</v>
      </c>
      <c r="N146" s="116">
        <f t="shared" ref="N146:P146" si="217">IF(N$129 = 0, 0, N114 / N$129)</f>
        <v>0</v>
      </c>
      <c r="O146" s="116">
        <f t="shared" si="217"/>
        <v>0</v>
      </c>
      <c r="P146" s="116">
        <f t="shared" si="217"/>
        <v>0</v>
      </c>
      <c r="Q146" s="116">
        <f t="shared" ref="Q146:S146" si="218">IF(Q$129 = 0, 0, Q114 / Q$129)</f>
        <v>0</v>
      </c>
      <c r="R146" s="116">
        <f t="shared" si="218"/>
        <v>0</v>
      </c>
      <c r="S146" s="116">
        <f t="shared" si="218"/>
        <v>0</v>
      </c>
      <c r="T146" s="116">
        <f t="shared" ref="T146:U146" si="219">IF(T$129 = 0, 0, T114 / T$129)</f>
        <v>0</v>
      </c>
      <c r="U146" s="116">
        <f t="shared" si="219"/>
        <v>0</v>
      </c>
      <c r="V146" s="116">
        <f t="shared" ref="V146:W146" si="220">IF(V$129 = 0, 0, V114 / V$129)</f>
        <v>0</v>
      </c>
      <c r="W146" s="116">
        <f t="shared" si="220"/>
        <v>0</v>
      </c>
      <c r="X146" s="116">
        <f t="shared" ref="X146:Y146" si="221">IF(X$129 = 0, 0, X114 / X$129)</f>
        <v>0</v>
      </c>
      <c r="Y146" s="116">
        <f t="shared" si="221"/>
        <v>0</v>
      </c>
    </row>
    <row r="147" spans="3:27" x14ac:dyDescent="0.35">
      <c r="C147" s="78"/>
      <c r="F147" t="s">
        <v>191</v>
      </c>
      <c r="G147" t="s">
        <v>270</v>
      </c>
      <c r="J147" s="88">
        <f t="shared" ref="J147:K147" si="222">IF(J$129 = 0, 0, J115 / J$129)</f>
        <v>0</v>
      </c>
      <c r="K147" s="88">
        <f t="shared" si="222"/>
        <v>0</v>
      </c>
      <c r="L147" s="88">
        <f t="shared" ref="L147:M147" si="223">IF(L$129 = 0, 0, L115 / L$129)</f>
        <v>0</v>
      </c>
      <c r="M147" s="88">
        <f t="shared" si="223"/>
        <v>0</v>
      </c>
      <c r="N147" s="88">
        <f t="shared" ref="N147:P147" si="224">IF(N$129 = 0, 0, N115 / N$129)</f>
        <v>0</v>
      </c>
      <c r="O147" s="88">
        <f t="shared" si="224"/>
        <v>0</v>
      </c>
      <c r="P147" s="88">
        <f t="shared" si="224"/>
        <v>0</v>
      </c>
      <c r="Q147" s="88">
        <f t="shared" ref="Q147:S147" si="225">IF(Q$129 = 0, 0, Q115 / Q$129)</f>
        <v>0</v>
      </c>
      <c r="R147" s="88">
        <f t="shared" si="225"/>
        <v>0</v>
      </c>
      <c r="S147" s="88">
        <f t="shared" si="225"/>
        <v>0</v>
      </c>
      <c r="T147" s="88">
        <f t="shared" ref="T147:U147" si="226">IF(T$129 = 0, 0, T115 / T$129)</f>
        <v>0</v>
      </c>
      <c r="U147" s="88">
        <f t="shared" si="226"/>
        <v>0</v>
      </c>
      <c r="V147" s="88">
        <f t="shared" ref="V147:W147" si="227">IF(V$129 = 0, 0, V115 / V$129)</f>
        <v>0</v>
      </c>
      <c r="W147" s="88">
        <f t="shared" si="227"/>
        <v>0</v>
      </c>
      <c r="X147" s="88">
        <f t="shared" ref="X147:Y147" si="228">IF(X$129 = 0, 0, X115 / X$129)</f>
        <v>0</v>
      </c>
      <c r="Y147" s="88">
        <f t="shared" si="228"/>
        <v>0</v>
      </c>
    </row>
    <row r="148" spans="3:27" x14ac:dyDescent="0.35">
      <c r="C148" s="78"/>
      <c r="F148" t="s">
        <v>192</v>
      </c>
      <c r="G148" t="s">
        <v>270</v>
      </c>
      <c r="J148" s="88">
        <f t="shared" ref="J148:K148" si="229">IF(J$129 = 0, 0, J116 / J$129)</f>
        <v>0</v>
      </c>
      <c r="K148" s="88">
        <f t="shared" si="229"/>
        <v>0</v>
      </c>
      <c r="L148" s="88">
        <f t="shared" ref="L148:M148" si="230">IF(L$129 = 0, 0, L116 / L$129)</f>
        <v>0</v>
      </c>
      <c r="M148" s="88">
        <f t="shared" si="230"/>
        <v>0</v>
      </c>
      <c r="N148" s="88">
        <f t="shared" ref="N148:P148" si="231">IF(N$129 = 0, 0, N116 / N$129)</f>
        <v>0</v>
      </c>
      <c r="O148" s="88">
        <f t="shared" si="231"/>
        <v>0</v>
      </c>
      <c r="P148" s="88">
        <f t="shared" si="231"/>
        <v>0</v>
      </c>
      <c r="Q148" s="88">
        <f t="shared" ref="Q148:S148" si="232">IF(Q$129 = 0, 0, Q116 / Q$129)</f>
        <v>0</v>
      </c>
      <c r="R148" s="88">
        <f t="shared" si="232"/>
        <v>0</v>
      </c>
      <c r="S148" s="88">
        <f t="shared" si="232"/>
        <v>0</v>
      </c>
      <c r="T148" s="88">
        <f t="shared" ref="T148:U148" si="233">IF(T$129 = 0, 0, T116 / T$129)</f>
        <v>0</v>
      </c>
      <c r="U148" s="88">
        <f t="shared" si="233"/>
        <v>0</v>
      </c>
      <c r="V148" s="88">
        <f t="shared" ref="V148:W148" si="234">IF(V$129 = 0, 0, V116 / V$129)</f>
        <v>0</v>
      </c>
      <c r="W148" s="88">
        <f t="shared" si="234"/>
        <v>0</v>
      </c>
      <c r="X148" s="88">
        <f t="shared" ref="X148:Y148" si="235">IF(X$129 = 0, 0, X116 / X$129)</f>
        <v>0</v>
      </c>
      <c r="Y148" s="88">
        <f t="shared" si="235"/>
        <v>0</v>
      </c>
    </row>
    <row r="149" spans="3:27" x14ac:dyDescent="0.35">
      <c r="C149" s="78"/>
      <c r="F149" t="s">
        <v>193</v>
      </c>
      <c r="G149" t="s">
        <v>270</v>
      </c>
      <c r="J149" s="88">
        <f t="shared" ref="J149:K149" si="236">IF(J$129 = 0, 0, J117 / J$129)</f>
        <v>0</v>
      </c>
      <c r="K149" s="88">
        <f t="shared" si="236"/>
        <v>0</v>
      </c>
      <c r="L149" s="88">
        <f t="shared" ref="L149:M149" si="237">IF(L$129 = 0, 0, L117 / L$129)</f>
        <v>0</v>
      </c>
      <c r="M149" s="88">
        <f t="shared" si="237"/>
        <v>0</v>
      </c>
      <c r="N149" s="88">
        <f t="shared" ref="N149:P149" si="238">IF(N$129 = 0, 0, N117 / N$129)</f>
        <v>0</v>
      </c>
      <c r="O149" s="88">
        <f t="shared" si="238"/>
        <v>0</v>
      </c>
      <c r="P149" s="88">
        <f t="shared" si="238"/>
        <v>0</v>
      </c>
      <c r="Q149" s="88">
        <f t="shared" ref="Q149:S149" si="239">IF(Q$129 = 0, 0, Q117 / Q$129)</f>
        <v>0</v>
      </c>
      <c r="R149" s="88">
        <f t="shared" si="239"/>
        <v>0</v>
      </c>
      <c r="S149" s="88">
        <f t="shared" si="239"/>
        <v>0</v>
      </c>
      <c r="T149" s="88">
        <f t="shared" ref="T149:U149" si="240">IF(T$129 = 0, 0, T117 / T$129)</f>
        <v>0</v>
      </c>
      <c r="U149" s="88">
        <f t="shared" si="240"/>
        <v>0</v>
      </c>
      <c r="V149" s="88">
        <f t="shared" ref="V149:W149" si="241">IF(V$129 = 0, 0, V117 / V$129)</f>
        <v>0</v>
      </c>
      <c r="W149" s="88">
        <f t="shared" si="241"/>
        <v>0</v>
      </c>
      <c r="X149" s="88">
        <f t="shared" ref="X149:Y149" si="242">IF(X$129 = 0, 0, X117 / X$129)</f>
        <v>0</v>
      </c>
      <c r="Y149" s="88">
        <f t="shared" si="242"/>
        <v>0</v>
      </c>
    </row>
    <row r="150" spans="3:27" x14ac:dyDescent="0.35">
      <c r="C150" s="78"/>
      <c r="F150" t="s">
        <v>194</v>
      </c>
      <c r="G150" t="s">
        <v>270</v>
      </c>
      <c r="J150" s="88">
        <f t="shared" ref="J150:K150" si="243">IF(J$129 = 0, 0, J118 / J$129)</f>
        <v>0</v>
      </c>
      <c r="K150" s="88">
        <f t="shared" si="243"/>
        <v>0</v>
      </c>
      <c r="L150" s="88">
        <f t="shared" ref="L150:M150" si="244">IF(L$129 = 0, 0, L118 / L$129)</f>
        <v>0</v>
      </c>
      <c r="M150" s="88">
        <f t="shared" si="244"/>
        <v>0</v>
      </c>
      <c r="N150" s="88">
        <f t="shared" ref="N150:P150" si="245">IF(N$129 = 0, 0, N118 / N$129)</f>
        <v>0</v>
      </c>
      <c r="O150" s="88">
        <f t="shared" si="245"/>
        <v>0</v>
      </c>
      <c r="P150" s="88">
        <f t="shared" si="245"/>
        <v>0</v>
      </c>
      <c r="Q150" s="88">
        <f t="shared" ref="Q150:S150" si="246">IF(Q$129 = 0, 0, Q118 / Q$129)</f>
        <v>0</v>
      </c>
      <c r="R150" s="88">
        <f t="shared" si="246"/>
        <v>0</v>
      </c>
      <c r="S150" s="88">
        <f t="shared" si="246"/>
        <v>0</v>
      </c>
      <c r="T150" s="88">
        <f t="shared" ref="T150:U150" si="247">IF(T$129 = 0, 0, T118 / T$129)</f>
        <v>0</v>
      </c>
      <c r="U150" s="88">
        <f t="shared" si="247"/>
        <v>0</v>
      </c>
      <c r="V150" s="88">
        <f t="shared" ref="V150:W150" si="248">IF(V$129 = 0, 0, V118 / V$129)</f>
        <v>0</v>
      </c>
      <c r="W150" s="88">
        <f t="shared" si="248"/>
        <v>0</v>
      </c>
      <c r="X150" s="88">
        <f t="shared" ref="X150:Y150" si="249">IF(X$129 = 0, 0, X118 / X$129)</f>
        <v>0</v>
      </c>
      <c r="Y150" s="88">
        <f t="shared" si="249"/>
        <v>0</v>
      </c>
    </row>
    <row r="151" spans="3:27" x14ac:dyDescent="0.35">
      <c r="C151" s="78"/>
      <c r="F151" t="s">
        <v>195</v>
      </c>
      <c r="G151" t="s">
        <v>270</v>
      </c>
      <c r="J151" s="88">
        <f t="shared" ref="J151:K151" si="250">IF(J$129 = 0, 0, J119 / J$129)</f>
        <v>0</v>
      </c>
      <c r="K151" s="88">
        <f t="shared" si="250"/>
        <v>0</v>
      </c>
      <c r="L151" s="88">
        <f t="shared" ref="L151:M151" si="251">IF(L$129 = 0, 0, L119 / L$129)</f>
        <v>0</v>
      </c>
      <c r="M151" s="88">
        <f t="shared" si="251"/>
        <v>0</v>
      </c>
      <c r="N151" s="88">
        <f t="shared" ref="N151:P151" si="252">IF(N$129 = 0, 0, N119 / N$129)</f>
        <v>0</v>
      </c>
      <c r="O151" s="88">
        <f t="shared" si="252"/>
        <v>0</v>
      </c>
      <c r="P151" s="88">
        <f t="shared" si="252"/>
        <v>0</v>
      </c>
      <c r="Q151" s="88">
        <f t="shared" ref="Q151:S151" si="253">IF(Q$129 = 0, 0, Q119 / Q$129)</f>
        <v>0</v>
      </c>
      <c r="R151" s="88">
        <f t="shared" si="253"/>
        <v>0</v>
      </c>
      <c r="S151" s="88">
        <f t="shared" si="253"/>
        <v>0</v>
      </c>
      <c r="T151" s="88">
        <f t="shared" ref="T151:U151" si="254">IF(T$129 = 0, 0, T119 / T$129)</f>
        <v>0</v>
      </c>
      <c r="U151" s="88">
        <f t="shared" si="254"/>
        <v>0</v>
      </c>
      <c r="V151" s="88">
        <f t="shared" ref="V151:W151" si="255">IF(V$129 = 0, 0, V119 / V$129)</f>
        <v>0</v>
      </c>
      <c r="W151" s="88">
        <f t="shared" si="255"/>
        <v>0</v>
      </c>
      <c r="X151" s="88">
        <f t="shared" ref="X151:Y151" si="256">IF(X$129 = 0, 0, X119 / X$129)</f>
        <v>0</v>
      </c>
      <c r="Y151" s="88">
        <f t="shared" si="256"/>
        <v>0</v>
      </c>
    </row>
    <row r="152" spans="3:27" x14ac:dyDescent="0.35">
      <c r="C152" s="78"/>
      <c r="F152" t="s">
        <v>196</v>
      </c>
      <c r="G152" t="s">
        <v>270</v>
      </c>
      <c r="J152" s="88">
        <f t="shared" ref="J152:K152" si="257">IF(J$129 = 0, 0, J120 / J$129)</f>
        <v>0</v>
      </c>
      <c r="K152" s="88">
        <f t="shared" si="257"/>
        <v>0</v>
      </c>
      <c r="L152" s="88">
        <f t="shared" ref="L152:M152" si="258">IF(L$129 = 0, 0, L120 / L$129)</f>
        <v>0</v>
      </c>
      <c r="M152" s="88">
        <f t="shared" si="258"/>
        <v>0</v>
      </c>
      <c r="N152" s="88">
        <f t="shared" ref="N152:P152" si="259">IF(N$129 = 0, 0, N120 / N$129)</f>
        <v>0</v>
      </c>
      <c r="O152" s="88">
        <f t="shared" si="259"/>
        <v>0</v>
      </c>
      <c r="P152" s="88">
        <f t="shared" si="259"/>
        <v>0</v>
      </c>
      <c r="Q152" s="88">
        <f t="shared" ref="Q152:S152" si="260">IF(Q$129 = 0, 0, Q120 / Q$129)</f>
        <v>0</v>
      </c>
      <c r="R152" s="88">
        <f t="shared" si="260"/>
        <v>0</v>
      </c>
      <c r="S152" s="88">
        <f t="shared" si="260"/>
        <v>0</v>
      </c>
      <c r="T152" s="88">
        <f t="shared" ref="T152:U152" si="261">IF(T$129 = 0, 0, T120 / T$129)</f>
        <v>0</v>
      </c>
      <c r="U152" s="88">
        <f t="shared" si="261"/>
        <v>0</v>
      </c>
      <c r="V152" s="88">
        <f t="shared" ref="V152:W152" si="262">IF(V$129 = 0, 0, V120 / V$129)</f>
        <v>0</v>
      </c>
      <c r="W152" s="88">
        <f t="shared" si="262"/>
        <v>0</v>
      </c>
      <c r="X152" s="88">
        <f t="shared" ref="X152:Y152" si="263">IF(X$129 = 0, 0, X120 / X$129)</f>
        <v>0</v>
      </c>
      <c r="Y152" s="88">
        <f t="shared" si="263"/>
        <v>0</v>
      </c>
    </row>
    <row r="153" spans="3:27" x14ac:dyDescent="0.35">
      <c r="C153" s="78"/>
      <c r="F153" t="s">
        <v>197</v>
      </c>
      <c r="G153" t="s">
        <v>270</v>
      </c>
      <c r="J153" s="88">
        <f t="shared" ref="J153:K153" si="264">IF(J$129 = 0, 0, J121 / J$129)</f>
        <v>0</v>
      </c>
      <c r="K153" s="88">
        <f t="shared" si="264"/>
        <v>0</v>
      </c>
      <c r="L153" s="88">
        <f t="shared" ref="L153:M153" si="265">IF(L$129 = 0, 0, L121 / L$129)</f>
        <v>0</v>
      </c>
      <c r="M153" s="88">
        <f t="shared" si="265"/>
        <v>0</v>
      </c>
      <c r="N153" s="88">
        <f t="shared" ref="N153:P153" si="266">IF(N$129 = 0, 0, N121 / N$129)</f>
        <v>0</v>
      </c>
      <c r="O153" s="88">
        <f t="shared" si="266"/>
        <v>0</v>
      </c>
      <c r="P153" s="88">
        <f t="shared" si="266"/>
        <v>0</v>
      </c>
      <c r="Q153" s="88">
        <f t="shared" ref="Q153:S153" si="267">IF(Q$129 = 0, 0, Q121 / Q$129)</f>
        <v>0</v>
      </c>
      <c r="R153" s="88">
        <f t="shared" si="267"/>
        <v>0</v>
      </c>
      <c r="S153" s="88">
        <f t="shared" si="267"/>
        <v>0</v>
      </c>
      <c r="T153" s="88">
        <f t="shared" ref="T153:U153" si="268">IF(T$129 = 0, 0, T121 / T$129)</f>
        <v>0</v>
      </c>
      <c r="U153" s="88">
        <f t="shared" si="268"/>
        <v>0</v>
      </c>
      <c r="V153" s="88">
        <f t="shared" ref="V153:W153" si="269">IF(V$129 = 0, 0, V121 / V$129)</f>
        <v>0</v>
      </c>
      <c r="W153" s="88">
        <f t="shared" si="269"/>
        <v>0</v>
      </c>
      <c r="X153" s="88">
        <f t="shared" ref="X153:Y153" si="270">IF(X$129 = 0, 0, X121 / X$129)</f>
        <v>0</v>
      </c>
      <c r="Y153" s="88">
        <f t="shared" si="270"/>
        <v>0</v>
      </c>
    </row>
    <row r="154" spans="3:27" x14ac:dyDescent="0.35">
      <c r="C154" s="78"/>
      <c r="F154" t="s">
        <v>198</v>
      </c>
      <c r="G154" t="s">
        <v>270</v>
      </c>
      <c r="J154" s="88">
        <f t="shared" ref="J154:K154" si="271">IF(J$129 = 0, 0, J122 / J$129)</f>
        <v>0</v>
      </c>
      <c r="K154" s="88">
        <f t="shared" si="271"/>
        <v>0</v>
      </c>
      <c r="L154" s="88">
        <f t="shared" ref="L154:M154" si="272">IF(L$129 = 0, 0, L122 / L$129)</f>
        <v>0</v>
      </c>
      <c r="M154" s="88">
        <f t="shared" si="272"/>
        <v>0</v>
      </c>
      <c r="N154" s="88">
        <f t="shared" ref="N154:P154" si="273">IF(N$129 = 0, 0, N122 / N$129)</f>
        <v>0</v>
      </c>
      <c r="O154" s="88">
        <f t="shared" si="273"/>
        <v>0</v>
      </c>
      <c r="P154" s="88">
        <f t="shared" si="273"/>
        <v>0</v>
      </c>
      <c r="Q154" s="88">
        <f t="shared" ref="Q154:S154" si="274">IF(Q$129 = 0, 0, Q122 / Q$129)</f>
        <v>0</v>
      </c>
      <c r="R154" s="88">
        <f t="shared" si="274"/>
        <v>0</v>
      </c>
      <c r="S154" s="88">
        <f t="shared" si="274"/>
        <v>0</v>
      </c>
      <c r="T154" s="88">
        <f t="shared" ref="T154:U154" si="275">IF(T$129 = 0, 0, T122 / T$129)</f>
        <v>0</v>
      </c>
      <c r="U154" s="88">
        <f t="shared" si="275"/>
        <v>0</v>
      </c>
      <c r="V154" s="88">
        <f t="shared" ref="V154:W154" si="276">IF(V$129 = 0, 0, V122 / V$129)</f>
        <v>0</v>
      </c>
      <c r="W154" s="88">
        <f t="shared" si="276"/>
        <v>0</v>
      </c>
      <c r="X154" s="88">
        <f t="shared" ref="X154:Y154" si="277">IF(X$129 = 0, 0, X122 / X$129)</f>
        <v>0</v>
      </c>
      <c r="Y154" s="88">
        <f t="shared" si="277"/>
        <v>0</v>
      </c>
    </row>
    <row r="155" spans="3:27" x14ac:dyDescent="0.35">
      <c r="C155" s="78"/>
      <c r="F155" t="s">
        <v>199</v>
      </c>
      <c r="G155" t="s">
        <v>270</v>
      </c>
      <c r="J155" s="88">
        <f t="shared" ref="J155:K155" si="278">IF(J$129 = 0, 0, J123 / J$129)</f>
        <v>1.765395729118753</v>
      </c>
      <c r="K155" s="88">
        <f t="shared" si="278"/>
        <v>0</v>
      </c>
      <c r="L155" s="88">
        <f t="shared" ref="L155:M155" si="279">IF(L$129 = 0, 0, L123 / L$129)</f>
        <v>1.765395729118753</v>
      </c>
      <c r="M155" s="88">
        <f t="shared" si="279"/>
        <v>0</v>
      </c>
      <c r="N155" s="88">
        <f t="shared" ref="N155:P155" si="280">IF(N$129 = 0, 0, N123 / N$129)</f>
        <v>0</v>
      </c>
      <c r="O155" s="88">
        <f t="shared" si="280"/>
        <v>0</v>
      </c>
      <c r="P155" s="88">
        <f t="shared" si="280"/>
        <v>0</v>
      </c>
      <c r="Q155" s="88">
        <f t="shared" ref="Q155:S155" si="281">IF(Q$129 = 0, 0, Q123 / Q$129)</f>
        <v>0</v>
      </c>
      <c r="R155" s="88">
        <f t="shared" si="281"/>
        <v>0</v>
      </c>
      <c r="S155" s="88">
        <f t="shared" si="281"/>
        <v>0</v>
      </c>
      <c r="T155" s="88">
        <f t="shared" ref="T155:U155" si="282">IF(T$129 = 0, 0, T123 / T$129)</f>
        <v>0</v>
      </c>
      <c r="U155" s="88">
        <f t="shared" si="282"/>
        <v>0</v>
      </c>
      <c r="V155" s="88">
        <f t="shared" ref="V155:W155" si="283">IF(V$129 = 0, 0, V123 / V$129)</f>
        <v>0</v>
      </c>
      <c r="W155" s="88">
        <f t="shared" si="283"/>
        <v>0</v>
      </c>
      <c r="X155" s="88">
        <f t="shared" ref="X155:Y155" si="284">IF(X$129 = 0, 0, X123 / X$129)</f>
        <v>0</v>
      </c>
      <c r="Y155" s="88">
        <f t="shared" si="284"/>
        <v>0</v>
      </c>
    </row>
    <row r="156" spans="3:27" x14ac:dyDescent="0.35">
      <c r="C156" s="78"/>
      <c r="D156"/>
      <c r="F156" s="19" t="s">
        <v>375</v>
      </c>
      <c r="G156" s="19" t="s">
        <v>270</v>
      </c>
      <c r="H156" s="19"/>
      <c r="I156" s="19"/>
      <c r="J156" s="116">
        <f t="shared" ref="J156:K156" si="285">J55</f>
        <v>3.7584898602855707</v>
      </c>
      <c r="K156" s="116">
        <f t="shared" si="285"/>
        <v>0</v>
      </c>
      <c r="L156" s="116">
        <f t="shared" ref="L156:M156" si="286">L55</f>
        <v>7.6951209645410064</v>
      </c>
      <c r="M156" s="116">
        <f t="shared" si="286"/>
        <v>0</v>
      </c>
      <c r="N156" s="116">
        <f t="shared" ref="N156:P156" si="287">N55</f>
        <v>22.808539817430944</v>
      </c>
      <c r="O156" s="116">
        <f t="shared" si="287"/>
        <v>58.506264025464517</v>
      </c>
      <c r="P156" s="116">
        <f t="shared" si="287"/>
        <v>0</v>
      </c>
      <c r="Q156" s="116">
        <f t="shared" ref="Q156:S156" si="288">Q55</f>
        <v>0</v>
      </c>
      <c r="R156" s="116">
        <f t="shared" si="288"/>
        <v>0</v>
      </c>
      <c r="S156" s="116">
        <f t="shared" si="288"/>
        <v>0</v>
      </c>
      <c r="T156" s="116">
        <f t="shared" ref="T156:U156" si="289">T55</f>
        <v>0</v>
      </c>
      <c r="U156" s="116">
        <f t="shared" si="289"/>
        <v>0</v>
      </c>
      <c r="V156" s="116">
        <f t="shared" ref="V156:W156" si="290">V55</f>
        <v>0</v>
      </c>
      <c r="W156" s="116">
        <f t="shared" si="290"/>
        <v>0</v>
      </c>
      <c r="X156" s="116">
        <f t="shared" ref="X156:Y156" si="291">X55</f>
        <v>0</v>
      </c>
      <c r="Y156" s="116">
        <f t="shared" si="291"/>
        <v>0</v>
      </c>
    </row>
    <row r="157" spans="3:27" x14ac:dyDescent="0.35">
      <c r="C157" s="78"/>
      <c r="D157"/>
      <c r="F157" s="28" t="s">
        <v>376</v>
      </c>
      <c r="G157" s="28" t="s">
        <v>270</v>
      </c>
      <c r="H157" s="28"/>
      <c r="I157" s="28"/>
      <c r="J157" s="90">
        <f t="shared" ref="J157:K157" si="292">J56</f>
        <v>0</v>
      </c>
      <c r="K157" s="90">
        <f t="shared" si="292"/>
        <v>0</v>
      </c>
      <c r="L157" s="90">
        <f t="shared" ref="L157:M157" si="293">L56</f>
        <v>0</v>
      </c>
      <c r="M157" s="90">
        <f t="shared" si="293"/>
        <v>0</v>
      </c>
      <c r="N157" s="90">
        <f t="shared" ref="N157:P157" si="294">N56</f>
        <v>0</v>
      </c>
      <c r="O157" s="90">
        <f t="shared" si="294"/>
        <v>0</v>
      </c>
      <c r="P157" s="90">
        <f t="shared" si="294"/>
        <v>209.1390454732356</v>
      </c>
      <c r="Q157" s="90">
        <f t="shared" ref="Q157:S157" si="295">Q56</f>
        <v>0</v>
      </c>
      <c r="R157" s="90">
        <f t="shared" si="295"/>
        <v>0</v>
      </c>
      <c r="S157" s="90">
        <f t="shared" si="295"/>
        <v>0</v>
      </c>
      <c r="T157" s="90">
        <f t="shared" ref="T157:U157" si="296">T56</f>
        <v>0</v>
      </c>
      <c r="U157" s="90">
        <f t="shared" si="296"/>
        <v>0</v>
      </c>
      <c r="V157" s="90">
        <f t="shared" ref="V157:W157" si="297">V56</f>
        <v>0</v>
      </c>
      <c r="W157" s="90">
        <f t="shared" si="297"/>
        <v>0</v>
      </c>
      <c r="X157" s="90">
        <f t="shared" ref="X157:Y157" si="298">X56</f>
        <v>416.37953829088679</v>
      </c>
      <c r="Y157" s="90">
        <f t="shared" si="298"/>
        <v>416.37953829088679</v>
      </c>
    </row>
    <row r="158" spans="3:27" x14ac:dyDescent="0.35">
      <c r="C158" s="78"/>
      <c r="J158" s="79"/>
      <c r="K158" s="79"/>
      <c r="L158" s="79"/>
      <c r="M158" s="79"/>
      <c r="N158" s="79"/>
      <c r="O158" s="79"/>
      <c r="P158" s="79"/>
      <c r="Q158" s="79"/>
      <c r="R158" s="79"/>
      <c r="S158" s="79"/>
      <c r="T158" s="79"/>
      <c r="U158" s="79"/>
      <c r="V158" s="79"/>
      <c r="W158" s="79"/>
      <c r="X158" s="79"/>
      <c r="Y158" s="79"/>
    </row>
    <row r="159" spans="3:27" x14ac:dyDescent="0.35">
      <c r="C159" s="26" t="str">
        <f ca="1">INDEX('Version control'!$H$38:$H$61,MATCH($A$1,'Version control'!$F$38:$F$61,0),1)&amp;"-H: Aggregated fixed charges"</f>
        <v>Section 114-H: Aggregated fixed charges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35">
      <c r="C160" s="78"/>
      <c r="J160" s="79"/>
      <c r="K160" s="79"/>
      <c r="L160" s="79"/>
      <c r="M160" s="79"/>
      <c r="N160" s="79"/>
      <c r="O160" s="79"/>
      <c r="P160" s="79"/>
      <c r="Q160" s="79"/>
      <c r="R160" s="79"/>
      <c r="S160" s="79"/>
      <c r="T160" s="79"/>
      <c r="U160" s="79"/>
      <c r="V160" s="79"/>
      <c r="W160" s="79"/>
      <c r="X160" s="79"/>
      <c r="Y160" s="79"/>
    </row>
    <row r="161" spans="2:27" x14ac:dyDescent="0.35">
      <c r="E161" t="s">
        <v>159</v>
      </c>
      <c r="G161" t="s">
        <v>270</v>
      </c>
      <c r="J161" s="111">
        <f t="shared" ref="J161:K161" si="299">SUM(J132:J143,J146:J157)</f>
        <v>5.6406043448534398</v>
      </c>
      <c r="K161" s="111">
        <f t="shared" si="299"/>
        <v>0</v>
      </c>
      <c r="L161" s="111">
        <f t="shared" ref="L161:M161" si="300">SUM(L132:L143,L146:L157)</f>
        <v>9.5772354491088763</v>
      </c>
      <c r="M161" s="111">
        <f t="shared" si="300"/>
        <v>0</v>
      </c>
      <c r="N161" s="111">
        <f t="shared" ref="N161:P161" si="301">SUM(N132:N143,N146:N157)</f>
        <v>22.808539817430944</v>
      </c>
      <c r="O161" s="111">
        <f t="shared" si="301"/>
        <v>58.506264025464517</v>
      </c>
      <c r="P161" s="111">
        <f t="shared" si="301"/>
        <v>209.1390454732356</v>
      </c>
      <c r="Q161" s="111">
        <f t="shared" ref="Q161:S161" si="302">SUM(Q132:Q143,Q146:Q157)</f>
        <v>0</v>
      </c>
      <c r="R161" s="111">
        <f t="shared" si="302"/>
        <v>0</v>
      </c>
      <c r="S161" s="111">
        <f t="shared" si="302"/>
        <v>0</v>
      </c>
      <c r="T161" s="111">
        <f t="shared" ref="T161:U161" si="303">SUM(T132:T143,T146:T157)</f>
        <v>0</v>
      </c>
      <c r="U161" s="111">
        <f t="shared" si="303"/>
        <v>0</v>
      </c>
      <c r="V161" s="111">
        <f t="shared" ref="V161:W161" si="304">SUM(V132:V143,V146:V157)</f>
        <v>0</v>
      </c>
      <c r="W161" s="111">
        <f t="shared" si="304"/>
        <v>0</v>
      </c>
      <c r="X161" s="111">
        <f t="shared" ref="X161" si="305">SUM(X132:X143,X146:X157)</f>
        <v>416.37953829088679</v>
      </c>
      <c r="Y161" s="111">
        <f>SUM(Y132:Y143,Y146:Y157)</f>
        <v>416.37953829088679</v>
      </c>
    </row>
    <row r="163" spans="2:27" x14ac:dyDescent="0.35">
      <c r="B163" s="25" t="s">
        <v>231</v>
      </c>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row>
    <row r="165" spans="2:27" x14ac:dyDescent="0.35">
      <c r="C165" s="78"/>
      <c r="E165" t="s">
        <v>232</v>
      </c>
      <c r="G165" s="6" t="s">
        <v>55</v>
      </c>
      <c r="H165" s="93">
        <f t="array" ref="H165">SUM(IF(ISERROR(H18:Y161), 1))</f>
        <v>0</v>
      </c>
    </row>
    <row r="167" spans="2:27" x14ac:dyDescent="0.35">
      <c r="B167" s="25" t="s">
        <v>106</v>
      </c>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row>
  </sheetData>
  <sheetProtection sheet="1" objects="1" formatCells="0" formatColumns="0" formatRows="0" sort="0" autoFilter="0"/>
  <conditionalFormatting sqref="A4:I4 Z4:XFD4">
    <cfRule type="expression" dxfId="49" priority="10">
      <formula>LEFT($A$4,1) &lt;&gt; "0"</formula>
    </cfRule>
  </conditionalFormatting>
  <conditionalFormatting sqref="N4:P4">
    <cfRule type="expression" dxfId="48" priority="9">
      <formula>LEFT($A$4,1) &lt;&gt; "0"</formula>
    </cfRule>
  </conditionalFormatting>
  <conditionalFormatting sqref="L4:M4">
    <cfRule type="expression" dxfId="47" priority="8">
      <formula>LEFT($A$4,1) &lt;&gt; "0"</formula>
    </cfRule>
  </conditionalFormatting>
  <conditionalFormatting sqref="J4:K4">
    <cfRule type="expression" dxfId="46" priority="7">
      <formula>LEFT($A$4,1) &lt;&gt; "0"</formula>
    </cfRule>
  </conditionalFormatting>
  <conditionalFormatting sqref="Q4">
    <cfRule type="expression" dxfId="45" priority="6">
      <formula>LEFT($A$4,1) &lt;&gt; "0"</formula>
    </cfRule>
  </conditionalFormatting>
  <conditionalFormatting sqref="R4:S4">
    <cfRule type="expression" dxfId="44" priority="5">
      <formula>LEFT($A$4,1) &lt;&gt; "0"</formula>
    </cfRule>
  </conditionalFormatting>
  <conditionalFormatting sqref="T4:U4">
    <cfRule type="expression" dxfId="43" priority="4">
      <formula>LEFT($A$4,1) &lt;&gt; "0"</formula>
    </cfRule>
  </conditionalFormatting>
  <conditionalFormatting sqref="V4:W4">
    <cfRule type="expression" dxfId="42" priority="3">
      <formula>LEFT($A$4,1) &lt;&gt; "0"</formula>
    </cfRule>
  </conditionalFormatting>
  <conditionalFormatting sqref="X4:Y4">
    <cfRule type="expression" dxfId="41" priority="2">
      <formula>LEFT($A$4,1) &lt;&gt; "0"</formula>
    </cfRule>
  </conditionalFormatting>
  <conditionalFormatting sqref="H165">
    <cfRule type="cellIs" dxfId="40" priority="1" operator="greaterThan">
      <formula>0</formula>
    </cfRule>
  </conditionalFormatting>
  <hyperlinks>
    <hyperlink ref="B5:F5" location="'Model map'!A1" display="Click here to return to model map" xr:uid="{00000000-0004-0000-16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2215E-1B47-4CAB-B602-C67D24210B0C}">
  <sheetPr codeName="Sheet5">
    <tabColor theme="4" tint="0.59999389629810485"/>
    <pageSetUpPr fitToPage="1"/>
  </sheetPr>
  <dimension ref="A1:KR7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25" width="17" customWidth="1"/>
    <col min="26" max="26" width="2.453125" customWidth="1"/>
    <col min="27" max="27" width="50.54296875" customWidth="1"/>
    <col min="28" max="28" width="2.453125" customWidth="1"/>
    <col min="29" max="29" width="24.54296875" hidden="1" customWidth="1"/>
    <col min="30" max="30" width="3.54296875" hidden="1" customWidth="1"/>
    <col min="31" max="31" width="15.453125" hidden="1" customWidth="1"/>
    <col min="32" max="304" width="24.54296875" hidden="1" customWidth="1"/>
    <col min="305" max="16384" width="8.54296875" hidden="1"/>
  </cols>
  <sheetData>
    <row r="1" spans="1:27" s="1" customFormat="1" x14ac:dyDescent="0.35">
      <c r="A1" s="1" t="str">
        <f ca="1">MID(CELL("filename",A1),FIND("]",CELL("filename",A1))+1,255)</f>
        <v>SoLR &amp; bad debt adders</v>
      </c>
    </row>
    <row r="2" spans="1:27" s="1" customFormat="1" x14ac:dyDescent="0.35">
      <c r="A2" s="1" t="str">
        <f>Cover!D21&amp;" - "&amp;Cover!D23</f>
        <v>Southern Electric Power Distribution - Final</v>
      </c>
    </row>
    <row r="3" spans="1:27" s="5" customFormat="1" x14ac:dyDescent="0.35">
      <c r="A3" s="5" t="str">
        <f>Cover!D2&amp;" - "&amp;Cover!D8&amp;" v"&amp;Cover!D10&amp;" - "&amp;Cover!D19</f>
        <v>CDCM charging model - Release for charge setting v9 - 2024/25</v>
      </c>
    </row>
    <row r="4" spans="1:27" x14ac:dyDescent="0.35">
      <c r="A4" s="11" t="str">
        <f>H71 &amp; IF(H71 = 1, " issue", " issues") &amp;" identified in checks on this sheet"</f>
        <v>0 issues identified in checks on this sheet</v>
      </c>
      <c r="B4" s="12"/>
      <c r="C4" s="12"/>
      <c r="D4" s="12"/>
      <c r="E4" s="12"/>
      <c r="F4" s="12"/>
      <c r="G4" s="12"/>
      <c r="H4" s="13"/>
      <c r="I4" s="13"/>
      <c r="J4" s="12"/>
    </row>
    <row r="5" spans="1:27" ht="43.5" x14ac:dyDescent="0.3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3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35">
      <c r="C9" s="24" t="s">
        <v>864</v>
      </c>
      <c r="E9"/>
    </row>
    <row r="10" spans="1:27" x14ac:dyDescent="0.35">
      <c r="C10" s="24" t="s">
        <v>865</v>
      </c>
      <c r="E10"/>
    </row>
    <row r="12" spans="1:27" x14ac:dyDescent="0.35">
      <c r="B12" s="25" t="s">
        <v>866</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row>
    <row r="14" spans="1:27" x14ac:dyDescent="0.35">
      <c r="C14" s="24" t="s">
        <v>867</v>
      </c>
    </row>
    <row r="16" spans="1:27" x14ac:dyDescent="0.35">
      <c r="C16" s="26" t="str">
        <f ca="1">INDEX('Version control'!$H$38:$H$62,MATCH($A$1,'Version control'!$F$38:$F$62,0),1)&amp;"-A: Inputs for fixed tariff adjustments"</f>
        <v>Section 115-A: Inputs for fixed tariff adjustments</v>
      </c>
      <c r="D16" s="26"/>
      <c r="E16" s="26"/>
      <c r="F16" s="26"/>
      <c r="G16" s="26"/>
      <c r="H16" s="26"/>
      <c r="I16" s="26"/>
      <c r="J16" s="26"/>
      <c r="K16" s="26"/>
      <c r="L16" s="26"/>
      <c r="M16" s="26"/>
      <c r="N16" s="26"/>
      <c r="O16" s="26"/>
      <c r="P16" s="26"/>
      <c r="Q16" s="26"/>
      <c r="R16" s="26"/>
      <c r="S16" s="26"/>
      <c r="T16" s="26"/>
      <c r="U16" s="26"/>
      <c r="V16" s="26"/>
      <c r="W16" s="26"/>
      <c r="X16" s="26"/>
      <c r="Y16" s="26"/>
      <c r="Z16" s="26"/>
      <c r="AA16" s="26"/>
    </row>
    <row r="18" spans="1:27" x14ac:dyDescent="0.35">
      <c r="E18" s="78" t="s">
        <v>212</v>
      </c>
      <c r="F18" s="27"/>
    </row>
    <row r="19" spans="1:27" x14ac:dyDescent="0.35">
      <c r="E19" s="24" t="s">
        <v>868</v>
      </c>
      <c r="F19" s="2"/>
    </row>
    <row r="20" spans="1:27" x14ac:dyDescent="0.35">
      <c r="C20" s="78"/>
      <c r="F20" s="19" t="s">
        <v>446</v>
      </c>
      <c r="G20" s="19" t="s">
        <v>212</v>
      </c>
      <c r="H20" s="267"/>
      <c r="I20" s="255"/>
      <c r="J20" s="267">
        <f>'Volume adjustments'!J202</f>
        <v>2883067.3258877532</v>
      </c>
      <c r="K20" s="267">
        <f>'Volume adjustments'!K202</f>
        <v>30229.440258963554</v>
      </c>
      <c r="L20" s="267">
        <f>'Volume adjustments'!L202</f>
        <v>227480.52314729209</v>
      </c>
      <c r="M20" s="267">
        <f>'Volume adjustments'!M202</f>
        <v>4514.9354838709687</v>
      </c>
      <c r="N20" s="267">
        <f>'Volume adjustments'!N202</f>
        <v>22893.354838709674</v>
      </c>
      <c r="O20" s="267">
        <f>'Volume adjustments'!O202</f>
        <v>299.45161290322585</v>
      </c>
      <c r="P20" s="267">
        <f>'Volume adjustments'!P202</f>
        <v>1841.9429487129253</v>
      </c>
      <c r="Q20" s="267">
        <f>'Volume adjustments'!Q202</f>
        <v>3978.3387096774172</v>
      </c>
      <c r="R20" s="267">
        <f>'Volume adjustments'!R202</f>
        <v>8349.9354838709678</v>
      </c>
      <c r="S20" s="267">
        <f>'Volume adjustments'!S202</f>
        <v>39</v>
      </c>
      <c r="T20" s="267">
        <f>'Volume adjustments'!T202</f>
        <v>838.90322580645136</v>
      </c>
      <c r="U20" s="267">
        <f>'Volume adjustments'!U202</f>
        <v>0</v>
      </c>
      <c r="V20" s="267">
        <f>'Volume adjustments'!V202</f>
        <v>1</v>
      </c>
      <c r="W20" s="267">
        <f>'Volume adjustments'!W202</f>
        <v>0</v>
      </c>
      <c r="X20" s="267">
        <f>'Volume adjustments'!X202</f>
        <v>234.29032258064521</v>
      </c>
      <c r="Y20" s="267">
        <f>'Volume adjustments'!Y202</f>
        <v>0</v>
      </c>
      <c r="Z20" s="256"/>
      <c r="AA20" s="256"/>
    </row>
    <row r="21" spans="1:27" x14ac:dyDescent="0.35">
      <c r="C21" s="78"/>
      <c r="F21" t="s">
        <v>447</v>
      </c>
      <c r="G21" t="s">
        <v>212</v>
      </c>
      <c r="H21" s="268"/>
      <c r="I21" s="256"/>
      <c r="J21" s="268">
        <f>'Volume adjustments'!J211</f>
        <v>34816.432226804616</v>
      </c>
      <c r="K21" s="268">
        <f>'Volume adjustments'!K211</f>
        <v>0</v>
      </c>
      <c r="L21" s="268">
        <f>'Volume adjustments'!L211</f>
        <v>976.90185445198563</v>
      </c>
      <c r="M21" s="268">
        <f>'Volume adjustments'!M211</f>
        <v>3.0357142857142851</v>
      </c>
      <c r="N21" s="268">
        <f>'Volume adjustments'!N211</f>
        <v>219.11290322580646</v>
      </c>
      <c r="O21" s="268">
        <f>'Volume adjustments'!O211</f>
        <v>0</v>
      </c>
      <c r="P21" s="268">
        <f>'Volume adjustments'!P211</f>
        <v>0</v>
      </c>
      <c r="Q21" s="268">
        <f>'Volume adjustments'!Q211</f>
        <v>71</v>
      </c>
      <c r="R21" s="268">
        <f>'Volume adjustments'!R211</f>
        <v>104.41935483870968</v>
      </c>
      <c r="S21" s="268">
        <f>'Volume adjustments'!S211</f>
        <v>0</v>
      </c>
      <c r="T21" s="268">
        <f>'Volume adjustments'!T211</f>
        <v>1</v>
      </c>
      <c r="U21" s="268">
        <f>'Volume adjustments'!U211</f>
        <v>0</v>
      </c>
      <c r="V21" s="268">
        <f>'Volume adjustments'!V211</f>
        <v>0</v>
      </c>
      <c r="W21" s="268">
        <f>'Volume adjustments'!W211</f>
        <v>0</v>
      </c>
      <c r="X21" s="268">
        <f>'Volume adjustments'!X211</f>
        <v>0</v>
      </c>
      <c r="Y21" s="268">
        <f>'Volume adjustments'!Y211</f>
        <v>0</v>
      </c>
      <c r="Z21" s="256"/>
      <c r="AA21" s="256"/>
    </row>
    <row r="22" spans="1:27" x14ac:dyDescent="0.35">
      <c r="C22" s="78"/>
      <c r="F22" t="s">
        <v>448</v>
      </c>
      <c r="G22" t="s">
        <v>212</v>
      </c>
      <c r="H22" s="268"/>
      <c r="I22" s="256"/>
      <c r="J22" s="268">
        <f>'Volume adjustments'!J220</f>
        <v>128781.76565790082</v>
      </c>
      <c r="K22" s="268">
        <f>'Volume adjustments'!K220</f>
        <v>533.5</v>
      </c>
      <c r="L22" s="268">
        <f>'Volume adjustments'!L220</f>
        <v>3104.1898697306642</v>
      </c>
      <c r="M22" s="268">
        <f>'Volume adjustments'!M220</f>
        <v>0</v>
      </c>
      <c r="N22" s="268">
        <f>'Volume adjustments'!N220</f>
        <v>799.38978217904832</v>
      </c>
      <c r="O22" s="268">
        <f>'Volume adjustments'!O220</f>
        <v>66.338709677419359</v>
      </c>
      <c r="P22" s="268">
        <f>'Volume adjustments'!P220</f>
        <v>17</v>
      </c>
      <c r="Q22" s="268">
        <f>'Volume adjustments'!Q220</f>
        <v>266.64516129032251</v>
      </c>
      <c r="R22" s="268">
        <f>'Volume adjustments'!R220</f>
        <v>1</v>
      </c>
      <c r="S22" s="268">
        <f>'Volume adjustments'!S220</f>
        <v>1</v>
      </c>
      <c r="T22" s="268">
        <f>'Volume adjustments'!T220</f>
        <v>0</v>
      </c>
      <c r="U22" s="268">
        <f>'Volume adjustments'!U220</f>
        <v>0</v>
      </c>
      <c r="V22" s="268">
        <f>'Volume adjustments'!V220</f>
        <v>0</v>
      </c>
      <c r="W22" s="268">
        <f>'Volume adjustments'!W220</f>
        <v>0</v>
      </c>
      <c r="X22" s="268">
        <f>'Volume adjustments'!X220</f>
        <v>0</v>
      </c>
      <c r="Y22" s="268">
        <f>'Volume adjustments'!Y220</f>
        <v>0</v>
      </c>
      <c r="Z22" s="256"/>
      <c r="AA22" s="256"/>
    </row>
    <row r="23" spans="1:27" x14ac:dyDescent="0.35">
      <c r="C23" s="78"/>
      <c r="F23" s="28" t="s">
        <v>869</v>
      </c>
      <c r="G23" s="28" t="s">
        <v>212</v>
      </c>
      <c r="H23" s="201"/>
      <c r="I23" s="28"/>
      <c r="J23" s="115">
        <f>'Inputs by customer type'!J161</f>
        <v>4767</v>
      </c>
      <c r="K23" s="115">
        <f>'Inputs by customer type'!K161</f>
        <v>0</v>
      </c>
      <c r="L23" s="115">
        <f>'Inputs by customer type'!L161</f>
        <v>16.483870967741932</v>
      </c>
      <c r="M23" s="115">
        <f>'Inputs by customer type'!M161</f>
        <v>0</v>
      </c>
      <c r="N23" s="115">
        <f>'Inputs by customer type'!N161</f>
        <v>31.096774193548384</v>
      </c>
      <c r="O23" s="115">
        <f>'Inputs by customer type'!O161</f>
        <v>4</v>
      </c>
      <c r="P23" s="115">
        <f>'Inputs by customer type'!P161</f>
        <v>9</v>
      </c>
      <c r="Q23" s="115">
        <f>'Inputs by customer type'!Q161</f>
        <v>47</v>
      </c>
      <c r="R23" s="115">
        <f>'Inputs by customer type'!R161</f>
        <v>18.387096774193544</v>
      </c>
      <c r="S23" s="115">
        <f>'Inputs by customer type'!S161</f>
        <v>0</v>
      </c>
      <c r="T23" s="115">
        <f>'Inputs by customer type'!T161</f>
        <v>0</v>
      </c>
      <c r="U23" s="115">
        <f>'Inputs by customer type'!U161</f>
        <v>0</v>
      </c>
      <c r="V23" s="115">
        <f>'Inputs by customer type'!V161</f>
        <v>0</v>
      </c>
      <c r="W23" s="115">
        <f>'Inputs by customer type'!W161</f>
        <v>0</v>
      </c>
      <c r="X23" s="115">
        <f>'Inputs by customer type'!X161</f>
        <v>0</v>
      </c>
      <c r="Y23" s="115">
        <f>'Inputs by customer type'!Y161</f>
        <v>0</v>
      </c>
    </row>
    <row r="24" spans="1:27" x14ac:dyDescent="0.35">
      <c r="C24" s="78"/>
      <c r="E24"/>
      <c r="J24" s="79"/>
      <c r="K24" s="79"/>
      <c r="L24" s="79"/>
      <c r="M24" s="79"/>
      <c r="N24" s="79"/>
      <c r="O24" s="79"/>
      <c r="P24" s="79"/>
      <c r="Q24" s="79"/>
      <c r="R24" s="79"/>
      <c r="S24" s="79"/>
      <c r="T24" s="79"/>
      <c r="U24" s="79"/>
      <c r="V24" s="79"/>
      <c r="W24" s="79"/>
      <c r="X24" s="79"/>
      <c r="Y24" s="79"/>
    </row>
    <row r="25" spans="1:27" x14ac:dyDescent="0.35">
      <c r="C25" s="78"/>
      <c r="E25" s="27" t="s">
        <v>870</v>
      </c>
      <c r="J25" s="79"/>
      <c r="K25" s="79"/>
      <c r="L25" s="79"/>
      <c r="M25" s="79"/>
      <c r="N25" s="79"/>
      <c r="O25" s="79"/>
      <c r="P25" s="79"/>
      <c r="Q25" s="79"/>
      <c r="R25" s="79"/>
      <c r="S25" s="79"/>
      <c r="T25" s="79"/>
      <c r="U25" s="79"/>
      <c r="V25" s="79"/>
      <c r="W25" s="79"/>
      <c r="X25" s="79"/>
      <c r="Y25" s="79"/>
    </row>
    <row r="26" spans="1:27" x14ac:dyDescent="0.35">
      <c r="C26" s="78"/>
      <c r="E26"/>
      <c r="F26" s="19" t="s">
        <v>871</v>
      </c>
      <c r="G26" s="19" t="s">
        <v>176</v>
      </c>
      <c r="H26" s="19"/>
      <c r="I26" s="19"/>
      <c r="J26" s="164">
        <f>'Fixed inputs'!J158</f>
        <v>1</v>
      </c>
      <c r="K26" s="164">
        <f>'Fixed inputs'!K158</f>
        <v>0</v>
      </c>
      <c r="L26" s="164">
        <f>'Fixed inputs'!L158</f>
        <v>0</v>
      </c>
      <c r="M26" s="164">
        <f>'Fixed inputs'!M158</f>
        <v>0</v>
      </c>
      <c r="N26" s="164">
        <f>'Fixed inputs'!N158</f>
        <v>0</v>
      </c>
      <c r="O26" s="164">
        <f>'Fixed inputs'!O158</f>
        <v>0</v>
      </c>
      <c r="P26" s="164">
        <f>'Fixed inputs'!P158</f>
        <v>0</v>
      </c>
      <c r="Q26" s="164">
        <f>'Fixed inputs'!Q158</f>
        <v>0</v>
      </c>
      <c r="R26" s="164">
        <f>'Fixed inputs'!R158</f>
        <v>0</v>
      </c>
      <c r="S26" s="164">
        <f>'Fixed inputs'!S158</f>
        <v>0</v>
      </c>
      <c r="T26" s="164">
        <f>'Fixed inputs'!T158</f>
        <v>0</v>
      </c>
      <c r="U26" s="164">
        <f>'Fixed inputs'!U158</f>
        <v>0</v>
      </c>
      <c r="V26" s="164">
        <f>'Fixed inputs'!V158</f>
        <v>0</v>
      </c>
      <c r="W26" s="164">
        <f>'Fixed inputs'!W158</f>
        <v>0</v>
      </c>
      <c r="X26" s="164">
        <f>'Fixed inputs'!X158</f>
        <v>0</v>
      </c>
      <c r="Y26" s="164">
        <f>'Fixed inputs'!Y158</f>
        <v>0</v>
      </c>
    </row>
    <row r="27" spans="1:27" s="408" customFormat="1" x14ac:dyDescent="0.35">
      <c r="C27" s="410"/>
      <c r="D27" s="411"/>
      <c r="F27" t="s">
        <v>872</v>
      </c>
      <c r="G27" s="408" t="s">
        <v>176</v>
      </c>
      <c r="J27" s="412">
        <f>'Fixed inputs'!J159</f>
        <v>1</v>
      </c>
      <c r="K27" s="412">
        <f>'Fixed inputs'!K159</f>
        <v>0</v>
      </c>
      <c r="L27" s="412">
        <f>'Fixed inputs'!L159</f>
        <v>1</v>
      </c>
      <c r="M27" s="412">
        <f>'Fixed inputs'!M159</f>
        <v>0</v>
      </c>
      <c r="N27" s="412">
        <f>'Fixed inputs'!N159</f>
        <v>1</v>
      </c>
      <c r="O27" s="412">
        <f>'Fixed inputs'!O159</f>
        <v>1</v>
      </c>
      <c r="P27" s="412">
        <f>'Fixed inputs'!P159</f>
        <v>1</v>
      </c>
      <c r="Q27" s="412">
        <f>'Fixed inputs'!Q159</f>
        <v>0</v>
      </c>
      <c r="R27" s="412">
        <f>'Fixed inputs'!R159</f>
        <v>0</v>
      </c>
      <c r="S27" s="412">
        <f>'Fixed inputs'!S159</f>
        <v>0</v>
      </c>
      <c r="T27" s="412">
        <f>'Fixed inputs'!T159</f>
        <v>0</v>
      </c>
      <c r="U27" s="412">
        <f>'Fixed inputs'!U159</f>
        <v>0</v>
      </c>
      <c r="V27" s="412">
        <f>'Fixed inputs'!V159</f>
        <v>0</v>
      </c>
      <c r="W27" s="412">
        <f>'Fixed inputs'!W159</f>
        <v>0</v>
      </c>
      <c r="X27" s="412">
        <f>'Fixed inputs'!X159</f>
        <v>0</v>
      </c>
      <c r="Y27" s="412">
        <f>'Fixed inputs'!Y159</f>
        <v>0</v>
      </c>
    </row>
    <row r="28" spans="1:27" x14ac:dyDescent="0.35">
      <c r="A28" s="408"/>
      <c r="C28" s="78"/>
      <c r="E28"/>
      <c r="F28" s="28" t="s">
        <v>1151</v>
      </c>
      <c r="G28" s="28" t="s">
        <v>176</v>
      </c>
      <c r="H28" s="28"/>
      <c r="I28" s="28"/>
      <c r="J28" s="201">
        <f>'Fixed inputs'!J160</f>
        <v>1</v>
      </c>
      <c r="K28" s="201">
        <f>'Fixed inputs'!K160</f>
        <v>0</v>
      </c>
      <c r="L28" s="201">
        <f>'Fixed inputs'!L160</f>
        <v>1</v>
      </c>
      <c r="M28" s="201">
        <f>'Fixed inputs'!M160</f>
        <v>0</v>
      </c>
      <c r="N28" s="201">
        <f>'Fixed inputs'!N160</f>
        <v>1</v>
      </c>
      <c r="O28" s="201">
        <f>'Fixed inputs'!O160</f>
        <v>1</v>
      </c>
      <c r="P28" s="201">
        <f>'Fixed inputs'!P160</f>
        <v>1</v>
      </c>
      <c r="Q28" s="201">
        <f>'Fixed inputs'!Q160</f>
        <v>0</v>
      </c>
      <c r="R28" s="201">
        <f>'Fixed inputs'!R160</f>
        <v>0</v>
      </c>
      <c r="S28" s="201">
        <f>'Fixed inputs'!S160</f>
        <v>0</v>
      </c>
      <c r="T28" s="201">
        <f>'Fixed inputs'!T160</f>
        <v>0</v>
      </c>
      <c r="U28" s="201">
        <f>'Fixed inputs'!U160</f>
        <v>0</v>
      </c>
      <c r="V28" s="201">
        <f>'Fixed inputs'!V160</f>
        <v>0</v>
      </c>
      <c r="W28" s="201">
        <f>'Fixed inputs'!W160</f>
        <v>0</v>
      </c>
      <c r="X28" s="201">
        <f>'Fixed inputs'!X160</f>
        <v>0</v>
      </c>
      <c r="Y28" s="201">
        <f>'Fixed inputs'!Y160</f>
        <v>0</v>
      </c>
    </row>
    <row r="29" spans="1:27" x14ac:dyDescent="0.35">
      <c r="A29" s="408"/>
      <c r="C29" s="78"/>
      <c r="E29"/>
      <c r="J29" s="79"/>
      <c r="K29" s="79"/>
      <c r="L29" s="79"/>
      <c r="M29" s="79"/>
      <c r="N29" s="79"/>
      <c r="O29" s="79"/>
      <c r="P29" s="79"/>
      <c r="Q29" s="79"/>
      <c r="R29" s="79"/>
      <c r="S29" s="79"/>
      <c r="T29" s="79"/>
      <c r="U29" s="79"/>
      <c r="V29" s="79"/>
      <c r="W29" s="79"/>
      <c r="X29" s="79"/>
      <c r="Y29" s="79"/>
    </row>
    <row r="30" spans="1:27" x14ac:dyDescent="0.35">
      <c r="A30" s="408"/>
      <c r="C30" s="78"/>
      <c r="E30" s="27" t="s">
        <v>873</v>
      </c>
      <c r="J30" s="79"/>
      <c r="K30" s="79"/>
      <c r="L30" s="79"/>
      <c r="M30" s="79"/>
      <c r="N30" s="79"/>
      <c r="O30" s="79"/>
      <c r="P30" s="79"/>
      <c r="Q30" s="79"/>
      <c r="R30" s="79"/>
      <c r="S30" s="79"/>
      <c r="T30" s="79"/>
      <c r="U30" s="79"/>
      <c r="V30" s="79"/>
      <c r="W30" s="79"/>
      <c r="X30" s="79"/>
      <c r="Y30" s="79"/>
    </row>
    <row r="31" spans="1:27" x14ac:dyDescent="0.35">
      <c r="A31" s="408"/>
      <c r="C31" s="78"/>
      <c r="E31"/>
      <c r="F31" s="19" t="s">
        <v>871</v>
      </c>
      <c r="G31" s="19" t="s">
        <v>277</v>
      </c>
      <c r="H31" s="114">
        <f>'General inputs'!H53</f>
        <v>2529968.092596143</v>
      </c>
      <c r="J31" s="110"/>
      <c r="K31" s="110"/>
      <c r="L31" s="110"/>
      <c r="M31" s="110"/>
      <c r="N31" s="110"/>
      <c r="O31" s="110"/>
      <c r="P31" s="110"/>
      <c r="Q31" s="110"/>
      <c r="R31" s="110"/>
      <c r="S31" s="110"/>
      <c r="T31" s="110"/>
      <c r="U31" s="110"/>
      <c r="V31" s="110"/>
      <c r="W31" s="110"/>
      <c r="X31" s="110"/>
      <c r="Y31" s="110"/>
    </row>
    <row r="32" spans="1:27" s="408" customFormat="1" x14ac:dyDescent="0.35">
      <c r="C32" s="410"/>
      <c r="D32" s="411"/>
      <c r="F32" t="s">
        <v>872</v>
      </c>
      <c r="G32" s="408" t="s">
        <v>277</v>
      </c>
      <c r="H32" s="318">
        <f>'General inputs'!H54</f>
        <v>6331537.0036689499</v>
      </c>
      <c r="J32" s="413"/>
      <c r="K32" s="413"/>
      <c r="L32" s="413"/>
      <c r="M32" s="413"/>
      <c r="N32" s="413"/>
      <c r="O32" s="413"/>
      <c r="P32" s="413"/>
      <c r="Q32" s="413"/>
      <c r="R32" s="413"/>
      <c r="S32" s="413"/>
      <c r="T32" s="413"/>
      <c r="U32" s="413"/>
      <c r="V32" s="413"/>
      <c r="W32" s="413"/>
      <c r="X32" s="413"/>
      <c r="Y32" s="413"/>
    </row>
    <row r="33" spans="1:27" x14ac:dyDescent="0.35">
      <c r="A33" s="408"/>
      <c r="C33" s="78"/>
      <c r="E33"/>
      <c r="F33" s="28" t="s">
        <v>1151</v>
      </c>
      <c r="G33" s="28" t="s">
        <v>277</v>
      </c>
      <c r="H33" s="115">
        <f>'General inputs'!H55</f>
        <v>0</v>
      </c>
      <c r="J33" s="110"/>
      <c r="K33" s="110"/>
      <c r="L33" s="110"/>
      <c r="M33" s="110"/>
      <c r="N33" s="110"/>
      <c r="O33" s="110"/>
      <c r="P33" s="110"/>
      <c r="Q33" s="110"/>
      <c r="R33" s="110"/>
      <c r="S33" s="110"/>
      <c r="T33" s="110"/>
      <c r="U33" s="110"/>
      <c r="V33" s="110"/>
      <c r="W33" s="110"/>
      <c r="X33" s="110"/>
      <c r="Y33" s="110"/>
    </row>
    <row r="34" spans="1:27" x14ac:dyDescent="0.35">
      <c r="A34" s="408"/>
    </row>
    <row r="35" spans="1:27" x14ac:dyDescent="0.35">
      <c r="A35" s="408"/>
      <c r="C35" s="26" t="str">
        <f ca="1">INDEX('Version control'!$H$38:$H$62,MATCH($A$1,'Version control'!$F$38:$F$62,0),1)&amp;"-B: Calculation of fixed tariff adjustments"</f>
        <v>Section 115-B: Calculation of fixed tariff adjustments</v>
      </c>
      <c r="D35" s="26"/>
      <c r="E35" s="26"/>
      <c r="F35" s="26"/>
      <c r="G35" s="26"/>
      <c r="H35" s="26"/>
      <c r="I35" s="26"/>
      <c r="J35" s="26"/>
      <c r="K35" s="26"/>
      <c r="L35" s="26"/>
      <c r="M35" s="26"/>
      <c r="N35" s="26"/>
      <c r="O35" s="26"/>
      <c r="P35" s="26"/>
      <c r="Q35" s="26"/>
      <c r="R35" s="26"/>
      <c r="S35" s="26"/>
      <c r="T35" s="26"/>
      <c r="U35" s="26"/>
      <c r="V35" s="26"/>
      <c r="W35" s="26"/>
      <c r="X35" s="26"/>
      <c r="Y35" s="26"/>
      <c r="Z35" s="26"/>
      <c r="AA35" s="26"/>
    </row>
    <row r="36" spans="1:27" x14ac:dyDescent="0.35">
      <c r="A36" s="408"/>
      <c r="C36" s="78"/>
      <c r="E36"/>
      <c r="J36" s="79"/>
      <c r="K36" s="79"/>
      <c r="L36" s="79"/>
      <c r="M36" s="79"/>
      <c r="N36" s="79"/>
      <c r="O36" s="79"/>
      <c r="P36" s="79"/>
      <c r="Q36" s="79"/>
      <c r="R36" s="79"/>
      <c r="S36" s="79"/>
      <c r="T36" s="79"/>
      <c r="U36" s="79"/>
      <c r="V36" s="79"/>
      <c r="W36" s="79"/>
      <c r="X36" s="79"/>
      <c r="Y36" s="79"/>
    </row>
    <row r="37" spans="1:27" x14ac:dyDescent="0.35">
      <c r="A37" s="408"/>
      <c r="C37" s="78"/>
      <c r="E37" s="27" t="s">
        <v>874</v>
      </c>
      <c r="J37" s="79"/>
      <c r="K37" s="79"/>
      <c r="L37" s="79"/>
      <c r="M37" s="79"/>
      <c r="N37" s="79"/>
      <c r="O37" s="79"/>
      <c r="P37" s="79"/>
      <c r="Q37" s="79"/>
      <c r="R37" s="79"/>
      <c r="S37" s="79"/>
      <c r="T37" s="79"/>
      <c r="U37" s="79"/>
      <c r="V37" s="79"/>
      <c r="W37" s="79"/>
      <c r="X37" s="79"/>
      <c r="Y37" s="79"/>
    </row>
    <row r="38" spans="1:27" x14ac:dyDescent="0.35">
      <c r="A38" s="408"/>
      <c r="F38" s="19" t="s">
        <v>871</v>
      </c>
      <c r="G38" s="19" t="s">
        <v>212</v>
      </c>
      <c r="H38" s="19"/>
      <c r="I38" s="19"/>
      <c r="J38" s="148">
        <f t="shared" ref="J38:Y38" si="0">SUM( J$20:J$23 ) * J26</f>
        <v>3051432.5237724585</v>
      </c>
      <c r="K38" s="148">
        <f t="shared" si="0"/>
        <v>0</v>
      </c>
      <c r="L38" s="148">
        <f t="shared" si="0"/>
        <v>0</v>
      </c>
      <c r="M38" s="148">
        <f t="shared" si="0"/>
        <v>0</v>
      </c>
      <c r="N38" s="148">
        <f t="shared" si="0"/>
        <v>0</v>
      </c>
      <c r="O38" s="148">
        <f t="shared" si="0"/>
        <v>0</v>
      </c>
      <c r="P38" s="148">
        <f t="shared" si="0"/>
        <v>0</v>
      </c>
      <c r="Q38" s="148">
        <f t="shared" si="0"/>
        <v>0</v>
      </c>
      <c r="R38" s="148">
        <f t="shared" si="0"/>
        <v>0</v>
      </c>
      <c r="S38" s="148">
        <f t="shared" si="0"/>
        <v>0</v>
      </c>
      <c r="T38" s="148">
        <f t="shared" si="0"/>
        <v>0</v>
      </c>
      <c r="U38" s="148">
        <f t="shared" si="0"/>
        <v>0</v>
      </c>
      <c r="V38" s="148">
        <f t="shared" si="0"/>
        <v>0</v>
      </c>
      <c r="W38" s="148">
        <f t="shared" si="0"/>
        <v>0</v>
      </c>
      <c r="X38" s="148">
        <f t="shared" si="0"/>
        <v>0</v>
      </c>
      <c r="Y38" s="148">
        <f t="shared" si="0"/>
        <v>0</v>
      </c>
    </row>
    <row r="39" spans="1:27" s="408" customFormat="1" x14ac:dyDescent="0.35">
      <c r="D39" s="411"/>
      <c r="E39" s="411"/>
      <c r="F39" t="s">
        <v>872</v>
      </c>
      <c r="G39" s="408" t="s">
        <v>212</v>
      </c>
      <c r="J39" s="415">
        <f>SUM( J$20:J$23 ) * J27</f>
        <v>3051432.5237724585</v>
      </c>
      <c r="K39" s="415">
        <f t="shared" ref="K39:Y39" si="1">SUM( K$20:K$23 ) * K27</f>
        <v>0</v>
      </c>
      <c r="L39" s="415">
        <f t="shared" si="1"/>
        <v>231578.09874244247</v>
      </c>
      <c r="M39" s="415">
        <f t="shared" si="1"/>
        <v>0</v>
      </c>
      <c r="N39" s="415">
        <f t="shared" si="1"/>
        <v>23942.954298308079</v>
      </c>
      <c r="O39" s="415">
        <f t="shared" si="1"/>
        <v>369.79032258064524</v>
      </c>
      <c r="P39" s="415">
        <f t="shared" si="1"/>
        <v>1867.9429487129253</v>
      </c>
      <c r="Q39" s="415">
        <f t="shared" si="1"/>
        <v>0</v>
      </c>
      <c r="R39" s="415">
        <f t="shared" si="1"/>
        <v>0</v>
      </c>
      <c r="S39" s="415">
        <f t="shared" si="1"/>
        <v>0</v>
      </c>
      <c r="T39" s="415">
        <f t="shared" si="1"/>
        <v>0</v>
      </c>
      <c r="U39" s="415">
        <f t="shared" si="1"/>
        <v>0</v>
      </c>
      <c r="V39" s="415">
        <f t="shared" si="1"/>
        <v>0</v>
      </c>
      <c r="W39" s="415">
        <f t="shared" si="1"/>
        <v>0</v>
      </c>
      <c r="X39" s="415">
        <f t="shared" si="1"/>
        <v>0</v>
      </c>
      <c r="Y39" s="415">
        <f t="shared" si="1"/>
        <v>0</v>
      </c>
    </row>
    <row r="40" spans="1:27" x14ac:dyDescent="0.35">
      <c r="A40" s="408"/>
      <c r="F40" s="28" t="s">
        <v>1151</v>
      </c>
      <c r="G40" s="28" t="s">
        <v>212</v>
      </c>
      <c r="H40" s="28"/>
      <c r="I40" s="28"/>
      <c r="J40" s="72">
        <f>SUM( J$20:J$23 ) * J28</f>
        <v>3051432.5237724585</v>
      </c>
      <c r="K40" s="72">
        <f t="shared" ref="K40:Y40" si="2">SUM( K$20:K$23 ) * K28</f>
        <v>0</v>
      </c>
      <c r="L40" s="72">
        <f t="shared" si="2"/>
        <v>231578.09874244247</v>
      </c>
      <c r="M40" s="72">
        <f t="shared" si="2"/>
        <v>0</v>
      </c>
      <c r="N40" s="72">
        <f t="shared" si="2"/>
        <v>23942.954298308079</v>
      </c>
      <c r="O40" s="72">
        <f t="shared" si="2"/>
        <v>369.79032258064524</v>
      </c>
      <c r="P40" s="72">
        <f t="shared" si="2"/>
        <v>1867.9429487129253</v>
      </c>
      <c r="Q40" s="72">
        <f t="shared" si="2"/>
        <v>0</v>
      </c>
      <c r="R40" s="72">
        <f t="shared" si="2"/>
        <v>0</v>
      </c>
      <c r="S40" s="72">
        <f t="shared" si="2"/>
        <v>0</v>
      </c>
      <c r="T40" s="72">
        <f t="shared" si="2"/>
        <v>0</v>
      </c>
      <c r="U40" s="72">
        <f t="shared" si="2"/>
        <v>0</v>
      </c>
      <c r="V40" s="72">
        <f t="shared" si="2"/>
        <v>0</v>
      </c>
      <c r="W40" s="72">
        <f t="shared" si="2"/>
        <v>0</v>
      </c>
      <c r="X40" s="72">
        <f t="shared" si="2"/>
        <v>0</v>
      </c>
      <c r="Y40" s="72">
        <f t="shared" si="2"/>
        <v>0</v>
      </c>
    </row>
    <row r="41" spans="1:27" x14ac:dyDescent="0.35">
      <c r="A41" s="408"/>
      <c r="C41" s="78"/>
      <c r="E41"/>
      <c r="J41" s="79"/>
      <c r="K41" s="79"/>
      <c r="L41" s="79"/>
      <c r="M41" s="79"/>
      <c r="N41" s="79"/>
      <c r="O41" s="79"/>
      <c r="P41" s="79"/>
      <c r="Q41" s="79"/>
      <c r="R41" s="79"/>
      <c r="S41" s="79"/>
      <c r="T41" s="79"/>
      <c r="U41" s="79"/>
      <c r="V41" s="79"/>
      <c r="W41" s="79"/>
      <c r="X41" s="79"/>
      <c r="Y41" s="79"/>
    </row>
    <row r="42" spans="1:27" x14ac:dyDescent="0.35">
      <c r="A42" s="408"/>
      <c r="C42" s="78"/>
      <c r="E42" s="27" t="s">
        <v>875</v>
      </c>
      <c r="I42" t="s">
        <v>154</v>
      </c>
      <c r="J42" s="79"/>
      <c r="K42" s="79"/>
      <c r="L42" s="79"/>
      <c r="M42" s="79"/>
      <c r="N42" s="79"/>
      <c r="O42" s="79"/>
      <c r="P42" s="79"/>
      <c r="Q42" s="79"/>
      <c r="R42" s="79"/>
      <c r="S42" s="79"/>
      <c r="T42" s="79"/>
      <c r="U42" s="79"/>
      <c r="V42" s="79"/>
      <c r="W42" s="79"/>
      <c r="X42" s="79"/>
      <c r="Y42" s="79"/>
      <c r="AA42" t="s">
        <v>1159</v>
      </c>
    </row>
    <row r="43" spans="1:27" x14ac:dyDescent="0.35">
      <c r="A43" s="408"/>
      <c r="C43" s="78"/>
      <c r="E43"/>
      <c r="F43" s="19" t="s">
        <v>871</v>
      </c>
      <c r="G43" s="19" t="s">
        <v>270</v>
      </c>
      <c r="H43" s="308">
        <f>H31 / SUM( J38:Y38 ) * hundred / days_in_year</f>
        <v>0.22715296431333187</v>
      </c>
      <c r="I43" s="13"/>
      <c r="J43" s="184"/>
      <c r="K43" s="184"/>
      <c r="L43" s="184"/>
      <c r="M43" s="184"/>
      <c r="N43" s="184"/>
      <c r="O43" s="184"/>
      <c r="P43" s="184"/>
      <c r="Q43" s="184"/>
      <c r="R43" s="184"/>
      <c r="S43" s="184"/>
      <c r="T43" s="184"/>
      <c r="U43" s="184"/>
      <c r="V43" s="184"/>
      <c r="W43" s="184"/>
      <c r="X43" s="184"/>
      <c r="Y43" s="184"/>
    </row>
    <row r="44" spans="1:27" s="408" customFormat="1" x14ac:dyDescent="0.35">
      <c r="C44" s="410"/>
      <c r="D44" s="411"/>
      <c r="F44" t="s">
        <v>872</v>
      </c>
      <c r="G44" s="408" t="s">
        <v>270</v>
      </c>
      <c r="H44" s="418">
        <f>H32 / SUM( J39:Y39 ) * hundred / days_in_year</f>
        <v>0.5241968534583672</v>
      </c>
      <c r="I44" s="416"/>
      <c r="J44" s="417"/>
      <c r="K44" s="417"/>
      <c r="L44" s="417"/>
      <c r="M44" s="417"/>
      <c r="N44" s="417"/>
      <c r="O44" s="417"/>
      <c r="P44" s="417"/>
      <c r="Q44" s="417"/>
      <c r="R44" s="417"/>
      <c r="S44" s="417"/>
      <c r="T44" s="417"/>
      <c r="U44" s="417"/>
      <c r="V44" s="417"/>
      <c r="W44" s="417"/>
      <c r="X44" s="417"/>
      <c r="Y44" s="417"/>
    </row>
    <row r="45" spans="1:27" ht="15" customHeight="1" x14ac:dyDescent="0.35">
      <c r="A45" s="408"/>
      <c r="C45" s="78"/>
      <c r="E45"/>
      <c r="F45" s="28" t="s">
        <v>1151</v>
      </c>
      <c r="G45" s="28" t="s">
        <v>270</v>
      </c>
      <c r="H45" s="309">
        <f>H33 / SUM( J40:Y40 ) * hundred / days_in_year</f>
        <v>0</v>
      </c>
      <c r="I45" s="13"/>
      <c r="J45" s="184"/>
      <c r="K45" s="184"/>
      <c r="L45" s="184"/>
      <c r="M45" s="184"/>
      <c r="N45" s="184"/>
      <c r="O45" s="184"/>
      <c r="P45" s="184"/>
      <c r="Q45" s="184"/>
      <c r="R45" s="184"/>
      <c r="S45" s="184"/>
      <c r="T45" s="184"/>
      <c r="U45" s="184"/>
      <c r="V45" s="184"/>
      <c r="W45" s="184"/>
      <c r="X45" s="184"/>
      <c r="Y45" s="184"/>
    </row>
    <row r="46" spans="1:27" x14ac:dyDescent="0.35">
      <c r="A46" s="408"/>
      <c r="C46" s="78"/>
      <c r="E46"/>
      <c r="H46" s="13"/>
      <c r="I46" s="13"/>
      <c r="J46" s="153"/>
      <c r="K46" s="153"/>
      <c r="L46" s="153"/>
      <c r="M46" s="153"/>
      <c r="N46" s="153"/>
      <c r="O46" s="153"/>
      <c r="P46" s="153"/>
      <c r="Q46" s="153"/>
      <c r="R46" s="153"/>
      <c r="S46" s="153"/>
      <c r="T46" s="153"/>
      <c r="U46" s="153"/>
      <c r="V46" s="153"/>
      <c r="W46" s="153"/>
      <c r="X46" s="153"/>
      <c r="Y46" s="153"/>
    </row>
    <row r="47" spans="1:27" x14ac:dyDescent="0.35">
      <c r="A47" s="408"/>
      <c r="C47" s="78"/>
      <c r="E47" s="27" t="s">
        <v>876</v>
      </c>
      <c r="H47" s="13"/>
      <c r="I47" s="13"/>
      <c r="J47" s="153"/>
      <c r="K47" s="153"/>
      <c r="L47" s="153"/>
      <c r="M47" s="153"/>
      <c r="N47" s="153"/>
      <c r="O47" s="153"/>
      <c r="P47" s="153"/>
      <c r="Q47" s="153"/>
      <c r="R47" s="153"/>
      <c r="S47" s="153"/>
      <c r="T47" s="153"/>
      <c r="U47" s="153"/>
      <c r="V47" s="153"/>
      <c r="W47" s="153"/>
      <c r="X47" s="153"/>
      <c r="Y47" s="153"/>
    </row>
    <row r="48" spans="1:27" x14ac:dyDescent="0.35">
      <c r="A48" s="408"/>
      <c r="C48" s="78"/>
      <c r="E48"/>
      <c r="F48" s="19" t="s">
        <v>871</v>
      </c>
      <c r="G48" s="19" t="s">
        <v>270</v>
      </c>
      <c r="H48" s="308"/>
      <c r="I48" s="308"/>
      <c r="J48" s="308">
        <f t="shared" ref="J48:Y48" si="3">IF( J26 = 1, $H43, 0)</f>
        <v>0.22715296431333187</v>
      </c>
      <c r="K48" s="308">
        <f t="shared" si="3"/>
        <v>0</v>
      </c>
      <c r="L48" s="308">
        <f t="shared" si="3"/>
        <v>0</v>
      </c>
      <c r="M48" s="308">
        <f t="shared" si="3"/>
        <v>0</v>
      </c>
      <c r="N48" s="308">
        <f t="shared" si="3"/>
        <v>0</v>
      </c>
      <c r="O48" s="308">
        <f t="shared" si="3"/>
        <v>0</v>
      </c>
      <c r="P48" s="308">
        <f t="shared" si="3"/>
        <v>0</v>
      </c>
      <c r="Q48" s="308">
        <f t="shared" si="3"/>
        <v>0</v>
      </c>
      <c r="R48" s="308">
        <f t="shared" si="3"/>
        <v>0</v>
      </c>
      <c r="S48" s="308">
        <f t="shared" si="3"/>
        <v>0</v>
      </c>
      <c r="T48" s="308">
        <f t="shared" si="3"/>
        <v>0</v>
      </c>
      <c r="U48" s="308">
        <f t="shared" si="3"/>
        <v>0</v>
      </c>
      <c r="V48" s="308">
        <f t="shared" si="3"/>
        <v>0</v>
      </c>
      <c r="W48" s="308">
        <f t="shared" si="3"/>
        <v>0</v>
      </c>
      <c r="X48" s="308">
        <f t="shared" si="3"/>
        <v>0</v>
      </c>
      <c r="Y48" s="308">
        <f t="shared" si="3"/>
        <v>0</v>
      </c>
    </row>
    <row r="49" spans="1:27" s="408" customFormat="1" x14ac:dyDescent="0.35">
      <c r="C49" s="410"/>
      <c r="D49" s="411"/>
      <c r="F49" t="s">
        <v>872</v>
      </c>
      <c r="G49" s="408" t="s">
        <v>270</v>
      </c>
      <c r="H49" s="418"/>
      <c r="I49" s="418"/>
      <c r="J49" s="418">
        <f>IF( J27 = 1, $H44, 0)</f>
        <v>0.5241968534583672</v>
      </c>
      <c r="K49" s="418">
        <f t="shared" ref="K49:Y49" si="4">IF( K27 = 1, $H44, 0)</f>
        <v>0</v>
      </c>
      <c r="L49" s="418">
        <f t="shared" si="4"/>
        <v>0.5241968534583672</v>
      </c>
      <c r="M49" s="418">
        <f t="shared" si="4"/>
        <v>0</v>
      </c>
      <c r="N49" s="418">
        <f t="shared" si="4"/>
        <v>0.5241968534583672</v>
      </c>
      <c r="O49" s="418">
        <f t="shared" si="4"/>
        <v>0.5241968534583672</v>
      </c>
      <c r="P49" s="418">
        <f t="shared" si="4"/>
        <v>0.5241968534583672</v>
      </c>
      <c r="Q49" s="418">
        <f t="shared" si="4"/>
        <v>0</v>
      </c>
      <c r="R49" s="418">
        <f t="shared" si="4"/>
        <v>0</v>
      </c>
      <c r="S49" s="418">
        <f t="shared" si="4"/>
        <v>0</v>
      </c>
      <c r="T49" s="418">
        <f t="shared" si="4"/>
        <v>0</v>
      </c>
      <c r="U49" s="418">
        <f t="shared" si="4"/>
        <v>0</v>
      </c>
      <c r="V49" s="418">
        <f t="shared" si="4"/>
        <v>0</v>
      </c>
      <c r="W49" s="418">
        <f t="shared" si="4"/>
        <v>0</v>
      </c>
      <c r="X49" s="418">
        <f t="shared" si="4"/>
        <v>0</v>
      </c>
      <c r="Y49" s="418">
        <f t="shared" si="4"/>
        <v>0</v>
      </c>
    </row>
    <row r="50" spans="1:27" x14ac:dyDescent="0.35">
      <c r="A50" s="408"/>
      <c r="C50" s="78"/>
      <c r="E50"/>
      <c r="F50" s="28" t="s">
        <v>1151</v>
      </c>
      <c r="G50" s="28" t="s">
        <v>270</v>
      </c>
      <c r="H50" s="309"/>
      <c r="I50" s="309"/>
      <c r="J50" s="309">
        <f>IF( J28 = 1, $H45, 0)</f>
        <v>0</v>
      </c>
      <c r="K50" s="309">
        <f t="shared" ref="K50:Y50" si="5">IF( K28 = 1, $H45, 0)</f>
        <v>0</v>
      </c>
      <c r="L50" s="309">
        <f t="shared" si="5"/>
        <v>0</v>
      </c>
      <c r="M50" s="309">
        <f t="shared" si="5"/>
        <v>0</v>
      </c>
      <c r="N50" s="309">
        <f t="shared" si="5"/>
        <v>0</v>
      </c>
      <c r="O50" s="309">
        <f t="shared" si="5"/>
        <v>0</v>
      </c>
      <c r="P50" s="309">
        <f t="shared" si="5"/>
        <v>0</v>
      </c>
      <c r="Q50" s="309">
        <f t="shared" si="5"/>
        <v>0</v>
      </c>
      <c r="R50" s="309">
        <f t="shared" si="5"/>
        <v>0</v>
      </c>
      <c r="S50" s="309">
        <f t="shared" si="5"/>
        <v>0</v>
      </c>
      <c r="T50" s="309">
        <f t="shared" si="5"/>
        <v>0</v>
      </c>
      <c r="U50" s="309">
        <f t="shared" si="5"/>
        <v>0</v>
      </c>
      <c r="V50" s="309">
        <f t="shared" si="5"/>
        <v>0</v>
      </c>
      <c r="W50" s="309">
        <f t="shared" si="5"/>
        <v>0</v>
      </c>
      <c r="X50" s="309">
        <f t="shared" si="5"/>
        <v>0</v>
      </c>
      <c r="Y50" s="309">
        <f t="shared" si="5"/>
        <v>0</v>
      </c>
    </row>
    <row r="51" spans="1:27" s="408" customFormat="1" x14ac:dyDescent="0.35">
      <c r="C51" s="410"/>
      <c r="D51" s="411"/>
      <c r="F51" s="98" t="s">
        <v>544</v>
      </c>
      <c r="G51" s="419" t="s">
        <v>270</v>
      </c>
      <c r="H51" s="420"/>
      <c r="I51" s="420"/>
      <c r="J51" s="448">
        <f xml:space="preserve"> J48 + J50 + J49</f>
        <v>0.75134981777169907</v>
      </c>
      <c r="K51" s="448">
        <f t="shared" ref="K51:Y51" si="6" xml:space="preserve"> K48 + K50 + K49</f>
        <v>0</v>
      </c>
      <c r="L51" s="448">
        <f t="shared" si="6"/>
        <v>0.5241968534583672</v>
      </c>
      <c r="M51" s="448">
        <f t="shared" si="6"/>
        <v>0</v>
      </c>
      <c r="N51" s="448">
        <f t="shared" si="6"/>
        <v>0.5241968534583672</v>
      </c>
      <c r="O51" s="448">
        <f t="shared" si="6"/>
        <v>0.5241968534583672</v>
      </c>
      <c r="P51" s="448">
        <f t="shared" si="6"/>
        <v>0.5241968534583672</v>
      </c>
      <c r="Q51" s="448">
        <f t="shared" si="6"/>
        <v>0</v>
      </c>
      <c r="R51" s="448">
        <f t="shared" si="6"/>
        <v>0</v>
      </c>
      <c r="S51" s="448">
        <f t="shared" si="6"/>
        <v>0</v>
      </c>
      <c r="T51" s="448">
        <f t="shared" si="6"/>
        <v>0</v>
      </c>
      <c r="U51" s="448">
        <f t="shared" si="6"/>
        <v>0</v>
      </c>
      <c r="V51" s="448">
        <f t="shared" si="6"/>
        <v>0</v>
      </c>
      <c r="W51" s="448">
        <f t="shared" si="6"/>
        <v>0</v>
      </c>
      <c r="X51" s="448">
        <f t="shared" si="6"/>
        <v>0</v>
      </c>
      <c r="Y51" s="448">
        <f t="shared" si="6"/>
        <v>0</v>
      </c>
    </row>
    <row r="52" spans="1:27" x14ac:dyDescent="0.35">
      <c r="A52" s="408"/>
      <c r="C52" s="78"/>
      <c r="H52" s="13"/>
      <c r="I52" s="13"/>
      <c r="J52" s="13"/>
      <c r="K52" s="13"/>
      <c r="L52" s="13"/>
      <c r="M52" s="13"/>
      <c r="N52" s="13"/>
      <c r="O52" s="13"/>
      <c r="P52" s="13"/>
      <c r="Q52" s="13"/>
      <c r="R52" s="13"/>
      <c r="S52" s="13"/>
      <c r="T52" s="13"/>
      <c r="U52" s="13"/>
      <c r="V52" s="13"/>
      <c r="W52" s="13"/>
      <c r="X52" s="13"/>
      <c r="Y52" s="13"/>
    </row>
    <row r="53" spans="1:27" x14ac:dyDescent="0.35">
      <c r="A53" s="408"/>
      <c r="C53" s="26" t="str">
        <f ca="1">INDEX('Version control'!$H$38:$H$62,MATCH($A$1,'Version control'!$F$38:$F$62,0),1)&amp;"-C: Calculation of fixed charge adder revenue"</f>
        <v>Section 115-C: Calculation of fixed charge adder revenue</v>
      </c>
      <c r="D53" s="26"/>
      <c r="E53" s="26"/>
      <c r="F53" s="26"/>
      <c r="G53" s="26"/>
      <c r="H53" s="26"/>
      <c r="I53" s="26"/>
      <c r="J53" s="26"/>
      <c r="K53" s="26"/>
      <c r="L53" s="26"/>
      <c r="M53" s="26"/>
      <c r="N53" s="26"/>
      <c r="O53" s="26"/>
      <c r="P53" s="26"/>
      <c r="Q53" s="26"/>
      <c r="R53" s="26"/>
      <c r="S53" s="26"/>
      <c r="T53" s="26"/>
      <c r="U53" s="26"/>
      <c r="V53" s="26"/>
      <c r="W53" s="26"/>
      <c r="X53" s="26"/>
      <c r="Y53" s="26"/>
      <c r="Z53" s="26"/>
      <c r="AA53" s="26"/>
    </row>
    <row r="54" spans="1:27" x14ac:dyDescent="0.35">
      <c r="A54" s="408"/>
      <c r="C54" s="78"/>
      <c r="E54"/>
      <c r="J54" s="79"/>
      <c r="K54" s="79"/>
      <c r="L54" s="79"/>
      <c r="M54" s="79"/>
      <c r="N54" s="79"/>
      <c r="O54" s="79"/>
      <c r="P54" s="79"/>
      <c r="Q54" s="79"/>
      <c r="R54" s="79"/>
      <c r="S54" s="79"/>
      <c r="T54" s="79"/>
      <c r="U54" s="79"/>
      <c r="V54" s="79"/>
      <c r="W54" s="79"/>
      <c r="X54" s="79"/>
      <c r="Y54" s="79"/>
    </row>
    <row r="55" spans="1:27" x14ac:dyDescent="0.35">
      <c r="A55" s="408"/>
      <c r="E55" t="s">
        <v>877</v>
      </c>
      <c r="G55" s="6" t="s">
        <v>277</v>
      </c>
      <c r="H55" s="205"/>
      <c r="I55" s="13"/>
      <c r="J55" s="205">
        <f t="shared" ref="J55:Y55" si="7">J51 / hundred * days_in_year * SUM( J20:J22 )</f>
        <v>8355257.2892568046</v>
      </c>
      <c r="K55" s="205">
        <f t="shared" si="7"/>
        <v>0</v>
      </c>
      <c r="L55" s="205">
        <f t="shared" si="7"/>
        <v>443051.12512538338</v>
      </c>
      <c r="M55" s="205">
        <f t="shared" si="7"/>
        <v>0</v>
      </c>
      <c r="N55" s="205">
        <f t="shared" si="7"/>
        <v>45750.999731872515</v>
      </c>
      <c r="O55" s="205">
        <f t="shared" si="7"/>
        <v>699.87339684637811</v>
      </c>
      <c r="P55" s="205">
        <f t="shared" si="7"/>
        <v>3556.7499623298604</v>
      </c>
      <c r="Q55" s="205">
        <f t="shared" si="7"/>
        <v>0</v>
      </c>
      <c r="R55" s="205">
        <f t="shared" si="7"/>
        <v>0</v>
      </c>
      <c r="S55" s="205">
        <f t="shared" si="7"/>
        <v>0</v>
      </c>
      <c r="T55" s="205">
        <f t="shared" si="7"/>
        <v>0</v>
      </c>
      <c r="U55" s="205">
        <f t="shared" si="7"/>
        <v>0</v>
      </c>
      <c r="V55" s="205">
        <f t="shared" si="7"/>
        <v>0</v>
      </c>
      <c r="W55" s="205">
        <f t="shared" si="7"/>
        <v>0</v>
      </c>
      <c r="X55" s="205">
        <f t="shared" si="7"/>
        <v>0</v>
      </c>
      <c r="Y55" s="205">
        <f t="shared" si="7"/>
        <v>0</v>
      </c>
    </row>
    <row r="56" spans="1:27" x14ac:dyDescent="0.35">
      <c r="A56" s="408"/>
      <c r="H56" s="13"/>
      <c r="I56" s="13"/>
      <c r="J56" s="13"/>
      <c r="K56" s="13"/>
      <c r="L56" s="13"/>
      <c r="M56" s="13"/>
      <c r="N56" s="13"/>
      <c r="O56" s="13"/>
      <c r="P56" s="13"/>
      <c r="Q56" s="13"/>
      <c r="R56" s="13"/>
      <c r="S56" s="13"/>
      <c r="T56" s="13"/>
      <c r="U56" s="13"/>
      <c r="V56" s="13"/>
      <c r="W56" s="13"/>
      <c r="X56" s="13"/>
      <c r="Y56" s="13"/>
    </row>
    <row r="57" spans="1:27" x14ac:dyDescent="0.35">
      <c r="A57" s="408"/>
      <c r="E57" t="s">
        <v>878</v>
      </c>
      <c r="G57" s="6" t="s">
        <v>277</v>
      </c>
      <c r="H57" s="189">
        <f>SUM( J55:Y55 )</f>
        <v>8848316.0374732353</v>
      </c>
      <c r="I57" s="13"/>
      <c r="J57" s="13"/>
      <c r="K57" s="13"/>
      <c r="L57" s="13"/>
      <c r="M57" s="13"/>
      <c r="N57" s="13"/>
      <c r="O57" s="13"/>
      <c r="P57" s="13"/>
      <c r="Q57" s="13"/>
      <c r="R57" s="13"/>
      <c r="S57" s="13"/>
      <c r="T57" s="13"/>
      <c r="U57" s="13"/>
      <c r="V57" s="13"/>
      <c r="W57" s="13"/>
      <c r="X57" s="13"/>
      <c r="Y57" s="13"/>
    </row>
    <row r="58" spans="1:27" x14ac:dyDescent="0.35">
      <c r="A58" s="408"/>
      <c r="H58" s="13"/>
      <c r="I58" s="13"/>
      <c r="J58" s="13"/>
      <c r="K58" s="13"/>
      <c r="L58" s="13"/>
      <c r="M58" s="13"/>
      <c r="N58" s="13"/>
      <c r="O58" s="13"/>
      <c r="P58" s="13"/>
      <c r="Q58" s="13"/>
      <c r="R58" s="13"/>
      <c r="S58" s="13"/>
      <c r="T58" s="13"/>
      <c r="U58" s="13"/>
      <c r="V58" s="13"/>
      <c r="W58" s="13"/>
      <c r="X58" s="13"/>
      <c r="Y58" s="13"/>
    </row>
    <row r="59" spans="1:27" x14ac:dyDescent="0.35">
      <c r="A59" s="408"/>
      <c r="E59" t="s">
        <v>879</v>
      </c>
      <c r="G59" s="6" t="s">
        <v>277</v>
      </c>
      <c r="H59" s="205"/>
      <c r="I59" s="13"/>
      <c r="J59" s="205">
        <f t="shared" ref="J59:Y59" si="8">J51 / hundred * days_in_year * J23</f>
        <v>13073.148721809566</v>
      </c>
      <c r="K59" s="205">
        <f t="shared" si="8"/>
        <v>0</v>
      </c>
      <c r="L59" s="205">
        <f t="shared" si="8"/>
        <v>31.538895523479788</v>
      </c>
      <c r="M59" s="205">
        <f t="shared" si="8"/>
        <v>0</v>
      </c>
      <c r="N59" s="205">
        <f t="shared" si="8"/>
        <v>59.498033825116472</v>
      </c>
      <c r="O59" s="205">
        <f t="shared" si="8"/>
        <v>7.6532740604921612</v>
      </c>
      <c r="P59" s="205">
        <f t="shared" si="8"/>
        <v>17.219866636107362</v>
      </c>
      <c r="Q59" s="205">
        <f t="shared" si="8"/>
        <v>0</v>
      </c>
      <c r="R59" s="205">
        <f t="shared" si="8"/>
        <v>0</v>
      </c>
      <c r="S59" s="205">
        <f t="shared" si="8"/>
        <v>0</v>
      </c>
      <c r="T59" s="205">
        <f t="shared" si="8"/>
        <v>0</v>
      </c>
      <c r="U59" s="205">
        <f t="shared" si="8"/>
        <v>0</v>
      </c>
      <c r="V59" s="205">
        <f t="shared" si="8"/>
        <v>0</v>
      </c>
      <c r="W59" s="205">
        <f t="shared" si="8"/>
        <v>0</v>
      </c>
      <c r="X59" s="205">
        <f t="shared" si="8"/>
        <v>0</v>
      </c>
      <c r="Y59" s="205">
        <f t="shared" si="8"/>
        <v>0</v>
      </c>
    </row>
    <row r="60" spans="1:27" x14ac:dyDescent="0.35">
      <c r="A60" s="408"/>
      <c r="H60" s="13"/>
      <c r="I60" s="13"/>
      <c r="J60" s="13"/>
      <c r="K60" s="13"/>
      <c r="L60" s="13"/>
      <c r="M60" s="13"/>
      <c r="N60" s="13"/>
      <c r="O60" s="13"/>
      <c r="P60" s="13"/>
      <c r="Q60" s="13"/>
      <c r="R60" s="13"/>
      <c r="S60" s="13"/>
      <c r="T60" s="13"/>
      <c r="U60" s="13"/>
      <c r="V60" s="13"/>
      <c r="W60" s="13"/>
      <c r="X60" s="13"/>
      <c r="Y60" s="13"/>
    </row>
    <row r="61" spans="1:27" x14ac:dyDescent="0.35">
      <c r="A61" s="408"/>
      <c r="E61" t="s">
        <v>880</v>
      </c>
      <c r="G61" s="6" t="s">
        <v>277</v>
      </c>
      <c r="H61" s="189">
        <f>SUM( J59:Y59 )</f>
        <v>13189.058791854763</v>
      </c>
      <c r="I61" s="13"/>
      <c r="J61" s="13"/>
      <c r="K61" s="13"/>
      <c r="L61" s="13"/>
      <c r="M61" s="13"/>
      <c r="N61" s="13"/>
      <c r="O61" s="13"/>
      <c r="P61" s="13"/>
      <c r="Q61" s="13"/>
      <c r="R61" s="13"/>
      <c r="S61" s="13"/>
      <c r="T61" s="13"/>
      <c r="U61" s="13"/>
      <c r="V61" s="13"/>
      <c r="W61" s="13"/>
      <c r="X61" s="13"/>
      <c r="Y61" s="13"/>
    </row>
    <row r="62" spans="1:27" x14ac:dyDescent="0.35">
      <c r="A62" s="408"/>
      <c r="H62" s="13"/>
      <c r="I62" s="13"/>
      <c r="J62" s="13"/>
      <c r="K62" s="13"/>
      <c r="L62" s="13"/>
      <c r="M62" s="13"/>
      <c r="N62" s="13"/>
      <c r="O62" s="13"/>
      <c r="P62" s="13"/>
      <c r="Q62" s="13"/>
      <c r="R62" s="13"/>
      <c r="S62" s="13"/>
      <c r="T62" s="13"/>
      <c r="U62" s="13"/>
      <c r="V62" s="13"/>
      <c r="W62" s="13"/>
      <c r="X62" s="13"/>
      <c r="Y62" s="13"/>
    </row>
    <row r="63" spans="1:27" x14ac:dyDescent="0.35">
      <c r="A63" s="408"/>
      <c r="B63" s="25" t="s">
        <v>231</v>
      </c>
      <c r="C63" s="25"/>
      <c r="D63" s="25"/>
      <c r="E63" s="25"/>
      <c r="F63" s="25"/>
      <c r="G63" s="25"/>
      <c r="H63" s="190"/>
      <c r="I63" s="190"/>
      <c r="J63" s="190"/>
      <c r="K63" s="190"/>
      <c r="L63" s="190"/>
      <c r="M63" s="190"/>
      <c r="N63" s="190"/>
      <c r="O63" s="190"/>
      <c r="P63" s="190"/>
      <c r="Q63" s="190"/>
      <c r="R63" s="190"/>
      <c r="S63" s="190"/>
      <c r="T63" s="190"/>
      <c r="U63" s="190"/>
      <c r="V63" s="190"/>
      <c r="W63" s="190"/>
      <c r="X63" s="190"/>
      <c r="Y63" s="190"/>
      <c r="Z63" s="25"/>
      <c r="AA63" s="25"/>
    </row>
    <row r="64" spans="1:27" x14ac:dyDescent="0.35">
      <c r="A64" s="408"/>
      <c r="H64" s="13"/>
      <c r="I64" s="13"/>
      <c r="J64" s="13"/>
      <c r="K64" s="13"/>
      <c r="L64" s="13"/>
      <c r="M64" s="13"/>
      <c r="N64" s="13"/>
      <c r="O64" s="13"/>
      <c r="P64" s="13"/>
      <c r="Q64" s="13"/>
      <c r="R64" s="13"/>
      <c r="S64" s="13"/>
      <c r="T64" s="13"/>
      <c r="U64" s="13"/>
      <c r="V64" s="13"/>
      <c r="W64" s="13"/>
      <c r="X64" s="13"/>
      <c r="Y64" s="13"/>
    </row>
    <row r="65" spans="1:27" x14ac:dyDescent="0.35">
      <c r="A65" s="408"/>
      <c r="E65" t="s">
        <v>881</v>
      </c>
      <c r="G65" s="6" t="s">
        <v>277</v>
      </c>
      <c r="H65" s="205"/>
      <c r="I65" s="13"/>
      <c r="J65" s="407">
        <f xml:space="preserve"> J55 + J59</f>
        <v>8368330.4379786141</v>
      </c>
      <c r="K65" s="205">
        <f t="shared" ref="K65:Y65" si="9" xml:space="preserve"> K55 + K59</f>
        <v>0</v>
      </c>
      <c r="L65" s="205">
        <f t="shared" si="9"/>
        <v>443082.66402090684</v>
      </c>
      <c r="M65" s="205">
        <f t="shared" si="9"/>
        <v>0</v>
      </c>
      <c r="N65" s="205">
        <f t="shared" si="9"/>
        <v>45810.497765697633</v>
      </c>
      <c r="O65" s="205">
        <f t="shared" si="9"/>
        <v>707.52667090687032</v>
      </c>
      <c r="P65" s="205">
        <f t="shared" si="9"/>
        <v>3573.9698289659677</v>
      </c>
      <c r="Q65" s="205">
        <f t="shared" si="9"/>
        <v>0</v>
      </c>
      <c r="R65" s="205">
        <f t="shared" si="9"/>
        <v>0</v>
      </c>
      <c r="S65" s="205">
        <f t="shared" si="9"/>
        <v>0</v>
      </c>
      <c r="T65" s="205">
        <f t="shared" si="9"/>
        <v>0</v>
      </c>
      <c r="U65" s="205">
        <f t="shared" si="9"/>
        <v>0</v>
      </c>
      <c r="V65" s="205">
        <f t="shared" si="9"/>
        <v>0</v>
      </c>
      <c r="W65" s="205">
        <f t="shared" si="9"/>
        <v>0</v>
      </c>
      <c r="X65" s="205">
        <f t="shared" si="9"/>
        <v>0</v>
      </c>
      <c r="Y65" s="205">
        <f t="shared" si="9"/>
        <v>0</v>
      </c>
    </row>
    <row r="66" spans="1:27" x14ac:dyDescent="0.35">
      <c r="A66" s="408"/>
      <c r="H66" s="13"/>
      <c r="I66" s="13"/>
      <c r="J66" s="13"/>
      <c r="K66" s="13"/>
      <c r="L66" s="13"/>
      <c r="M66" s="13"/>
      <c r="N66" s="13"/>
      <c r="O66" s="13"/>
      <c r="P66" s="13"/>
      <c r="Q66" s="13"/>
      <c r="R66" s="13"/>
      <c r="S66" s="13"/>
      <c r="T66" s="13"/>
      <c r="U66" s="13"/>
      <c r="V66" s="13"/>
      <c r="W66" s="13"/>
      <c r="X66" s="13"/>
      <c r="Y66" s="13"/>
    </row>
    <row r="67" spans="1:27" x14ac:dyDescent="0.35">
      <c r="A67" s="408"/>
      <c r="E67" t="s">
        <v>882</v>
      </c>
      <c r="G67" s="6" t="s">
        <v>277</v>
      </c>
      <c r="H67" s="79">
        <f>SUM( J65:Y65 )</f>
        <v>8861505.0962650906</v>
      </c>
      <c r="I67" s="13"/>
      <c r="J67" s="13"/>
      <c r="K67" s="13"/>
      <c r="L67" s="13"/>
      <c r="M67" s="13"/>
      <c r="N67" s="13"/>
      <c r="O67" s="13"/>
      <c r="P67" s="13"/>
      <c r="Q67" s="13"/>
      <c r="R67" s="13"/>
      <c r="S67" s="13"/>
      <c r="T67" s="13"/>
      <c r="U67" s="13"/>
      <c r="V67" s="13"/>
      <c r="W67" s="13"/>
      <c r="X67" s="13"/>
      <c r="Y67" s="13"/>
    </row>
    <row r="68" spans="1:27" x14ac:dyDescent="0.35">
      <c r="A68" s="408"/>
      <c r="H68" s="13"/>
      <c r="I68" s="13"/>
      <c r="J68" s="13"/>
      <c r="K68" s="13"/>
      <c r="L68" s="13"/>
      <c r="M68" s="13"/>
      <c r="N68" s="13"/>
      <c r="O68" s="13"/>
      <c r="P68" s="13"/>
      <c r="Q68" s="13"/>
      <c r="R68" s="13"/>
      <c r="S68" s="13"/>
      <c r="T68" s="13"/>
      <c r="U68" s="13"/>
      <c r="V68" s="13"/>
      <c r="W68" s="13"/>
      <c r="X68" s="13"/>
      <c r="Y68" s="13"/>
    </row>
    <row r="69" spans="1:27" x14ac:dyDescent="0.35">
      <c r="A69" s="408"/>
      <c r="E69" s="408" t="s">
        <v>883</v>
      </c>
      <c r="G69" s="6" t="s">
        <v>55</v>
      </c>
      <c r="H69" s="191">
        <f>IF( ABS( IFERROR( H67, 0 ) - ( H31 + H32 + H33 ) ) &lt; 10^-check_decimals, 0, 1)</f>
        <v>0</v>
      </c>
      <c r="I69" s="13"/>
      <c r="J69" s="13"/>
      <c r="K69" s="13"/>
      <c r="L69" s="13"/>
      <c r="M69" s="13"/>
      <c r="N69" s="13"/>
      <c r="O69" s="13"/>
      <c r="P69" s="13"/>
      <c r="Q69" s="13"/>
      <c r="R69" s="13"/>
      <c r="S69" s="13"/>
      <c r="T69" s="13"/>
      <c r="U69" s="13"/>
      <c r="V69" s="13"/>
      <c r="W69" s="13"/>
      <c r="X69" s="13"/>
      <c r="Y69" s="13"/>
    </row>
    <row r="70" spans="1:27" x14ac:dyDescent="0.35">
      <c r="A70" s="408"/>
      <c r="H70" s="13"/>
      <c r="I70" s="13"/>
      <c r="J70" s="13"/>
      <c r="K70" s="13"/>
      <c r="L70" s="13"/>
      <c r="M70" s="13"/>
      <c r="N70" s="13"/>
      <c r="O70" s="13"/>
      <c r="P70" s="13"/>
      <c r="Q70" s="13"/>
      <c r="R70" s="13"/>
      <c r="S70" s="13"/>
      <c r="T70" s="13"/>
      <c r="U70" s="13"/>
      <c r="V70" s="13"/>
      <c r="W70" s="13"/>
      <c r="X70" s="13"/>
      <c r="Y70" s="13"/>
    </row>
    <row r="71" spans="1:27" x14ac:dyDescent="0.35">
      <c r="A71" s="408"/>
      <c r="E71" t="s">
        <v>232</v>
      </c>
      <c r="G71" s="6" t="s">
        <v>55</v>
      </c>
      <c r="H71" s="93">
        <f t="array" ref="H71">SUM( IF( ISERROR( H20:Y62 ), 1 )) + H69</f>
        <v>0</v>
      </c>
      <c r="I71" s="13"/>
      <c r="J71" s="13"/>
      <c r="K71" s="13"/>
      <c r="L71" s="13"/>
      <c r="M71" s="13"/>
      <c r="N71" s="13"/>
      <c r="O71" s="13"/>
      <c r="P71" s="13"/>
      <c r="Q71" s="13"/>
      <c r="R71" s="13"/>
      <c r="S71" s="13"/>
      <c r="T71" s="13"/>
      <c r="U71" s="13"/>
      <c r="V71" s="13"/>
      <c r="W71" s="13"/>
      <c r="X71" s="13"/>
      <c r="Y71" s="13"/>
    </row>
    <row r="72" spans="1:27" x14ac:dyDescent="0.35">
      <c r="H72" s="13"/>
      <c r="I72" s="13"/>
      <c r="J72" s="13"/>
      <c r="K72" s="13"/>
      <c r="L72" s="13"/>
      <c r="M72" s="13"/>
      <c r="N72" s="13"/>
      <c r="O72" s="13"/>
      <c r="P72" s="13"/>
      <c r="Q72" s="13"/>
      <c r="R72" s="13"/>
      <c r="S72" s="13"/>
      <c r="T72" s="13"/>
      <c r="U72" s="13"/>
      <c r="V72" s="13"/>
      <c r="W72" s="13"/>
      <c r="X72" s="13"/>
      <c r="Y72" s="13"/>
    </row>
    <row r="73" spans="1:27" x14ac:dyDescent="0.35">
      <c r="B73" s="25" t="s">
        <v>106</v>
      </c>
      <c r="C73" s="25"/>
      <c r="D73" s="25"/>
      <c r="E73" s="25"/>
      <c r="F73" s="25"/>
      <c r="G73" s="25"/>
      <c r="H73" s="190"/>
      <c r="I73" s="190"/>
      <c r="J73" s="190"/>
      <c r="K73" s="190"/>
      <c r="L73" s="190"/>
      <c r="M73" s="190"/>
      <c r="N73" s="190"/>
      <c r="O73" s="190"/>
      <c r="P73" s="190"/>
      <c r="Q73" s="190"/>
      <c r="R73" s="190"/>
      <c r="S73" s="190"/>
      <c r="T73" s="190"/>
      <c r="U73" s="190"/>
      <c r="V73" s="190"/>
      <c r="W73" s="190"/>
      <c r="X73" s="190"/>
      <c r="Y73" s="190"/>
      <c r="Z73" s="25"/>
      <c r="AA73" s="25"/>
    </row>
  </sheetData>
  <sheetProtection sheet="1" objects="1" formatCells="0" formatColumns="0" formatRows="0" sort="0" autoFilter="0"/>
  <phoneticPr fontId="39" type="noConversion"/>
  <conditionalFormatting sqref="A4:XFD4">
    <cfRule type="expression" dxfId="39" priority="3">
      <formula>LEFT($A$4,1) &lt;&gt; "0"</formula>
    </cfRule>
  </conditionalFormatting>
  <conditionalFormatting sqref="H69">
    <cfRule type="cellIs" dxfId="38" priority="2" operator="greaterThan">
      <formula>0</formula>
    </cfRule>
  </conditionalFormatting>
  <conditionalFormatting sqref="H71">
    <cfRule type="cellIs" dxfId="37" priority="1" operator="greaterThan">
      <formula>0</formula>
    </cfRule>
  </conditionalFormatting>
  <hyperlinks>
    <hyperlink ref="B5:F5" location="'Model map'!A1" display="Click here to return to model map" xr:uid="{4A22225D-FD09-4304-9E4F-17F067EEC627}"/>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theme="4" tint="0.59999389629810485"/>
    <pageSetUpPr fitToPage="1"/>
  </sheetPr>
  <dimension ref="A1:PM435"/>
  <sheetViews>
    <sheetView showGridLines="0" zoomScale="80" zoomScaleNormal="80" zoomScaleSheetLayoutView="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41" width="17" customWidth="1"/>
    <col min="42" max="42" width="2.453125" customWidth="1"/>
    <col min="43" max="43" width="50.54296875" customWidth="1"/>
    <col min="44" max="44" width="2.453125" customWidth="1"/>
    <col min="45" max="45" width="24.54296875" hidden="1" customWidth="1"/>
    <col min="46" max="46" width="3.54296875" hidden="1" customWidth="1"/>
    <col min="47" max="47" width="15.453125" hidden="1" customWidth="1"/>
    <col min="48" max="429" width="24.54296875" hidden="1" customWidth="1"/>
    <col min="430" max="16384" width="8.54296875" hidden="1"/>
  </cols>
  <sheetData>
    <row r="1" spans="1:43" s="1" customFormat="1" x14ac:dyDescent="0.35">
      <c r="A1" s="1" t="str">
        <f ca="1">MID(CELL("filename",A1),FIND("]",CELL("filename",A1))+1,255)</f>
        <v>Revenue matching</v>
      </c>
    </row>
    <row r="2" spans="1:43" s="1" customFormat="1" x14ac:dyDescent="0.35">
      <c r="A2" s="1" t="str">
        <f>Cover!D21&amp;" - "&amp;Cover!D23</f>
        <v>Southern Electric Power Distribution - Final</v>
      </c>
    </row>
    <row r="3" spans="1:43" s="5" customFormat="1" x14ac:dyDescent="0.35">
      <c r="A3" s="5" t="str">
        <f>Cover!D2&amp;" - "&amp;Cover!D8&amp;" v"&amp;Cover!D10&amp;" - "&amp;Cover!D19</f>
        <v>CDCM charging model - Release for charge setting v9 - 2024/25</v>
      </c>
    </row>
    <row r="4" spans="1:43" x14ac:dyDescent="0.35">
      <c r="A4" s="11" t="str">
        <f>H433 &amp; IF(H433 = 1, " issue", " issues") &amp;" identified in checks on this sheet"</f>
        <v>0 issues identified in checks on this sheet</v>
      </c>
      <c r="B4" s="12"/>
      <c r="C4" s="12"/>
      <c r="D4" s="12"/>
      <c r="E4" s="12"/>
      <c r="F4" s="12"/>
      <c r="G4" s="12"/>
      <c r="H4" s="13"/>
      <c r="I4" s="13"/>
    </row>
    <row r="5" spans="1:43" ht="43.5" x14ac:dyDescent="0.35">
      <c r="B5" s="49" t="s">
        <v>142</v>
      </c>
      <c r="C5" s="50"/>
      <c r="D5" s="50"/>
      <c r="E5" s="50"/>
      <c r="F5" s="50"/>
      <c r="G5" s="50" t="s">
        <v>143</v>
      </c>
      <c r="H5" s="104"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6" spans="1:43" x14ac:dyDescent="0.35">
      <c r="C6" s="78"/>
    </row>
    <row r="7" spans="1:43" x14ac:dyDescent="0.3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95"/>
      <c r="AQ7" s="95"/>
    </row>
    <row r="9" spans="1:43" x14ac:dyDescent="0.35">
      <c r="D9" s="24" t="s">
        <v>729</v>
      </c>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O9" s="171"/>
    </row>
    <row r="10" spans="1:43" x14ac:dyDescent="0.35">
      <c r="D10" s="24" t="s">
        <v>730</v>
      </c>
      <c r="E10"/>
    </row>
    <row r="11" spans="1:43" x14ac:dyDescent="0.35">
      <c r="D11" s="24" t="s">
        <v>731</v>
      </c>
    </row>
    <row r="13" spans="1:43" x14ac:dyDescent="0.35">
      <c r="B13" s="25" t="s">
        <v>732</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95"/>
      <c r="AQ13" s="95"/>
    </row>
    <row r="14" spans="1:43" x14ac:dyDescent="0.35">
      <c r="C14" s="78"/>
    </row>
    <row r="15" spans="1:43" x14ac:dyDescent="0.35">
      <c r="C15" s="26" t="str">
        <f ca="1">INDEX('Version control'!$H$38:$H$61,MATCH($A$1,'Version control'!$F$38:$F$61,0),1)&amp;"-A: Inputs to revenue matching"</f>
        <v>Section 116-A: Inputs to revenue matching</v>
      </c>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row>
    <row r="16" spans="1:43" x14ac:dyDescent="0.35">
      <c r="C16" s="24"/>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row>
    <row r="17" spans="3:43" x14ac:dyDescent="0.35">
      <c r="D17" s="24" t="s">
        <v>1028</v>
      </c>
      <c r="F17" s="2"/>
    </row>
    <row r="18" spans="3:43" x14ac:dyDescent="0.35">
      <c r="D18" s="78"/>
      <c r="F18" s="2"/>
    </row>
    <row r="19" spans="3:43" ht="43.5" x14ac:dyDescent="0.35">
      <c r="D19"/>
      <c r="E19" s="27" t="s">
        <v>733</v>
      </c>
      <c r="F19" s="27"/>
      <c r="J19" s="226" t="s">
        <v>827</v>
      </c>
      <c r="K19" s="226" t="s">
        <v>829</v>
      </c>
      <c r="L19" s="226" t="s">
        <v>828</v>
      </c>
      <c r="M19" s="226" t="s">
        <v>830</v>
      </c>
      <c r="N19" s="226" t="s">
        <v>836</v>
      </c>
      <c r="O19" s="226" t="s">
        <v>837</v>
      </c>
      <c r="P19" s="226" t="s">
        <v>838</v>
      </c>
      <c r="Q19" s="226" t="s">
        <v>839</v>
      </c>
      <c r="R19" s="226" t="s">
        <v>831</v>
      </c>
      <c r="S19" s="226" t="s">
        <v>832</v>
      </c>
      <c r="T19" s="226" t="s">
        <v>833</v>
      </c>
      <c r="U19" s="226" t="s">
        <v>842</v>
      </c>
      <c r="V19" s="226" t="s">
        <v>834</v>
      </c>
      <c r="W19" s="226" t="s">
        <v>841</v>
      </c>
      <c r="X19" s="226" t="s">
        <v>835</v>
      </c>
      <c r="Y19" s="226" t="s">
        <v>840</v>
      </c>
      <c r="Z19" s="153"/>
      <c r="AA19" s="153"/>
      <c r="AB19" s="153"/>
      <c r="AC19" s="153"/>
      <c r="AD19" s="153"/>
      <c r="AE19" s="153"/>
      <c r="AF19" s="153"/>
      <c r="AG19" s="153"/>
      <c r="AH19" s="153"/>
      <c r="AI19" s="153"/>
      <c r="AJ19" s="153"/>
      <c r="AK19" s="153"/>
      <c r="AL19" s="153"/>
      <c r="AM19" s="153"/>
      <c r="AN19" s="153"/>
      <c r="AO19" s="153"/>
    </row>
    <row r="20" spans="3:43" x14ac:dyDescent="0.35">
      <c r="D20"/>
      <c r="E20" s="78"/>
      <c r="F20" s="19" t="s">
        <v>156</v>
      </c>
      <c r="G20" s="19" t="s">
        <v>269</v>
      </c>
      <c r="H20" s="255"/>
      <c r="I20" s="255"/>
      <c r="J20" s="267">
        <f>'Unit rate charges'!J217</f>
        <v>9.3171116944398857</v>
      </c>
      <c r="K20" s="267">
        <f>'Unit rate charges'!K217</f>
        <v>9.3171116944398857</v>
      </c>
      <c r="L20" s="267">
        <f>'Unit rate charges'!L217</f>
        <v>8.7153701226779656</v>
      </c>
      <c r="M20" s="267">
        <f>'Unit rate charges'!M217</f>
        <v>8.7153701226779656</v>
      </c>
      <c r="N20" s="267">
        <f>'Unit rate charges'!N217</f>
        <v>6.8094647784894793</v>
      </c>
      <c r="O20" s="267">
        <f>'Unit rate charges'!O217</f>
        <v>4.5451823626979291</v>
      </c>
      <c r="P20" s="267">
        <f>'Unit rate charges'!P217</f>
        <v>3.6111056246732378</v>
      </c>
      <c r="Q20" s="267">
        <f>'Unit rate charges'!Q217</f>
        <v>25.14626087817571</v>
      </c>
      <c r="R20" s="267">
        <f>'Unit rate charges'!R217</f>
        <v>-6.4671088642966206</v>
      </c>
      <c r="S20" s="267">
        <f>'Unit rate charges'!S217</f>
        <v>-5.7431990235840562</v>
      </c>
      <c r="T20" s="267">
        <f>'Unit rate charges'!T217</f>
        <v>-6.4671088642966206</v>
      </c>
      <c r="U20" s="267">
        <f>'Unit rate charges'!U217</f>
        <v>-6.4671088642966206</v>
      </c>
      <c r="V20" s="267">
        <f>'Unit rate charges'!V217</f>
        <v>-5.7431990235840562</v>
      </c>
      <c r="W20" s="267">
        <f>'Unit rate charges'!W217</f>
        <v>-5.7431990235840562</v>
      </c>
      <c r="X20" s="267">
        <f>'Unit rate charges'!X217</f>
        <v>-4.4077410438205549</v>
      </c>
      <c r="Y20" s="267">
        <f>'Unit rate charges'!Y217</f>
        <v>-4.4077410438205549</v>
      </c>
      <c r="Z20" s="153"/>
      <c r="AA20" s="153"/>
      <c r="AB20" s="153"/>
      <c r="AC20" s="153"/>
      <c r="AD20" s="153"/>
      <c r="AE20" s="153"/>
      <c r="AF20" s="153"/>
      <c r="AG20" s="153"/>
      <c r="AH20" s="153"/>
      <c r="AI20" s="153"/>
      <c r="AJ20" s="153"/>
      <c r="AK20" s="153"/>
      <c r="AL20" s="153"/>
      <c r="AM20" s="153"/>
      <c r="AN20" s="153"/>
      <c r="AO20" s="153"/>
      <c r="AP20" s="256"/>
      <c r="AQ20" s="256"/>
    </row>
    <row r="21" spans="3:43" x14ac:dyDescent="0.35">
      <c r="D21"/>
      <c r="E21" s="78"/>
      <c r="F21" t="s">
        <v>157</v>
      </c>
      <c r="G21" t="s">
        <v>269</v>
      </c>
      <c r="H21" s="256"/>
      <c r="I21" s="256"/>
      <c r="J21" s="326">
        <f>'Unit rate charges'!J218</f>
        <v>1.1840664639985359</v>
      </c>
      <c r="K21" s="326">
        <f>'Unit rate charges'!K218</f>
        <v>1.1840664639985359</v>
      </c>
      <c r="L21" s="326">
        <f>'Unit rate charges'!L218</f>
        <v>1.1075940508211499</v>
      </c>
      <c r="M21" s="326">
        <f>'Unit rate charges'!M218</f>
        <v>1.1075940508211499</v>
      </c>
      <c r="N21" s="326">
        <f>'Unit rate charges'!N218</f>
        <v>0.74505952499466721</v>
      </c>
      <c r="O21" s="326">
        <f>'Unit rate charges'!O218</f>
        <v>0.34012821867000353</v>
      </c>
      <c r="P21" s="326">
        <f>'Unit rate charges'!P218</f>
        <v>0.23969521230552152</v>
      </c>
      <c r="Q21" s="326">
        <f>'Unit rate charges'!Q218</f>
        <v>3.9724336516911984</v>
      </c>
      <c r="R21" s="326">
        <f>'Unit rate charges'!R218</f>
        <v>-0.82187344923759953</v>
      </c>
      <c r="S21" s="326">
        <f>'Unit rate charges'!S218</f>
        <v>-0.66738501200260569</v>
      </c>
      <c r="T21" s="326">
        <f>'Unit rate charges'!T218</f>
        <v>-0.82187344923759953</v>
      </c>
      <c r="U21" s="326">
        <f>'Unit rate charges'!U218</f>
        <v>-0.82187344923759953</v>
      </c>
      <c r="V21" s="326">
        <f>'Unit rate charges'!V218</f>
        <v>-0.66738501200260569</v>
      </c>
      <c r="W21" s="326">
        <f>'Unit rate charges'!W218</f>
        <v>-0.66738501200260569</v>
      </c>
      <c r="X21" s="326">
        <f>'Unit rate charges'!X218</f>
        <v>-0.32883259082754929</v>
      </c>
      <c r="Y21" s="326">
        <f>'Unit rate charges'!Y218</f>
        <v>-0.32883259082754929</v>
      </c>
      <c r="Z21" s="153"/>
      <c r="AA21" s="153"/>
      <c r="AB21" s="153"/>
      <c r="AC21" s="153"/>
      <c r="AD21" s="153"/>
      <c r="AE21" s="153"/>
      <c r="AF21" s="153"/>
      <c r="AG21" s="153"/>
      <c r="AH21" s="153"/>
      <c r="AI21" s="153"/>
      <c r="AJ21" s="153"/>
      <c r="AK21" s="153"/>
      <c r="AL21" s="153"/>
      <c r="AM21" s="153"/>
      <c r="AN21" s="153"/>
      <c r="AO21" s="153"/>
      <c r="AP21" s="256"/>
      <c r="AQ21" s="256"/>
    </row>
    <row r="22" spans="3:43" x14ac:dyDescent="0.35">
      <c r="D22"/>
      <c r="E22" s="78"/>
      <c r="F22" t="s">
        <v>158</v>
      </c>
      <c r="G22" t="s">
        <v>269</v>
      </c>
      <c r="H22" s="256"/>
      <c r="I22" s="256"/>
      <c r="J22" s="326">
        <f>'Unit rate charges'!J219</f>
        <v>5.710557616527933E-2</v>
      </c>
      <c r="K22" s="326">
        <f>'Unit rate charges'!K219</f>
        <v>5.710557616527933E-2</v>
      </c>
      <c r="L22" s="326">
        <f>'Unit rate charges'!L219</f>
        <v>5.3417437578449689E-2</v>
      </c>
      <c r="M22" s="326">
        <f>'Unit rate charges'!M219</f>
        <v>5.3417437578449689E-2</v>
      </c>
      <c r="N22" s="326">
        <f>'Unit rate charges'!N219</f>
        <v>3.5352393244154082E-2</v>
      </c>
      <c r="O22" s="326">
        <f>'Unit rate charges'!O219</f>
        <v>1.5257810460316851E-2</v>
      </c>
      <c r="P22" s="326">
        <f>'Unit rate charges'!P219</f>
        <v>1.0544425190881661E-2</v>
      </c>
      <c r="Q22" s="326">
        <f>'Unit rate charges'!Q219</f>
        <v>2.9210578444349151</v>
      </c>
      <c r="R22" s="326">
        <f>'Unit rate charges'!R219</f>
        <v>-3.9637603361526004E-2</v>
      </c>
      <c r="S22" s="326">
        <f>'Unit rate charges'!S219</f>
        <v>-3.1885340997794977E-2</v>
      </c>
      <c r="T22" s="326">
        <f>'Unit rate charges'!T219</f>
        <v>-3.9637603361526004E-2</v>
      </c>
      <c r="U22" s="326">
        <f>'Unit rate charges'!U219</f>
        <v>-3.9637603361526004E-2</v>
      </c>
      <c r="V22" s="326">
        <f>'Unit rate charges'!V219</f>
        <v>-3.1885340997794977E-2</v>
      </c>
      <c r="W22" s="326">
        <f>'Unit rate charges'!W219</f>
        <v>-3.1885340997794977E-2</v>
      </c>
      <c r="X22" s="326">
        <f>'Unit rate charges'!X219</f>
        <v>-1.4744214024831974E-2</v>
      </c>
      <c r="Y22" s="326">
        <f>'Unit rate charges'!Y219</f>
        <v>-1.4744214024831974E-2</v>
      </c>
      <c r="Z22" s="153"/>
      <c r="AA22" s="153"/>
      <c r="AB22" s="153"/>
      <c r="AC22" s="153"/>
      <c r="AD22" s="153"/>
      <c r="AE22" s="153"/>
      <c r="AF22" s="153"/>
      <c r="AG22" s="153"/>
      <c r="AH22" s="153"/>
      <c r="AI22" s="153"/>
      <c r="AJ22" s="153"/>
      <c r="AK22" s="153"/>
      <c r="AL22" s="153"/>
      <c r="AM22" s="153"/>
      <c r="AN22" s="153"/>
      <c r="AO22" s="153"/>
      <c r="AP22" s="256"/>
      <c r="AQ22" s="256"/>
    </row>
    <row r="23" spans="3:43" x14ac:dyDescent="0.35">
      <c r="D23"/>
      <c r="E23" s="78"/>
      <c r="F23" t="s">
        <v>159</v>
      </c>
      <c r="G23" t="s">
        <v>270</v>
      </c>
      <c r="J23" s="114">
        <f>'Fixed charges'!J161</f>
        <v>5.6406043448534398</v>
      </c>
      <c r="K23" s="114">
        <f>'Fixed charges'!K161</f>
        <v>0</v>
      </c>
      <c r="L23" s="114">
        <f>'Fixed charges'!L161</f>
        <v>9.5772354491088763</v>
      </c>
      <c r="M23" s="114">
        <f>'Fixed charges'!M161</f>
        <v>0</v>
      </c>
      <c r="N23" s="114">
        <f>'Fixed charges'!N161</f>
        <v>22.808539817430944</v>
      </c>
      <c r="O23" s="114">
        <f>'Fixed charges'!O161</f>
        <v>58.506264025464517</v>
      </c>
      <c r="P23" s="114">
        <f>'Fixed charges'!P161</f>
        <v>209.1390454732356</v>
      </c>
      <c r="Q23" s="114">
        <f>'Fixed charges'!Q161</f>
        <v>0</v>
      </c>
      <c r="R23" s="114">
        <f>'Fixed charges'!R161</f>
        <v>0</v>
      </c>
      <c r="S23" s="114">
        <f>'Fixed charges'!S161</f>
        <v>0</v>
      </c>
      <c r="T23" s="114">
        <f>'Fixed charges'!T161</f>
        <v>0</v>
      </c>
      <c r="U23" s="114">
        <f>'Fixed charges'!U161</f>
        <v>0</v>
      </c>
      <c r="V23" s="114">
        <f>'Fixed charges'!V161</f>
        <v>0</v>
      </c>
      <c r="W23" s="114">
        <f>'Fixed charges'!W161</f>
        <v>0</v>
      </c>
      <c r="X23" s="114">
        <f>'Fixed charges'!X161</f>
        <v>416.37953829088679</v>
      </c>
      <c r="Y23" s="114">
        <f>'Fixed charges'!Y161</f>
        <v>416.37953829088679</v>
      </c>
      <c r="Z23" s="153"/>
      <c r="AA23" s="153"/>
      <c r="AB23" s="153"/>
      <c r="AC23" s="153"/>
      <c r="AD23" s="153"/>
      <c r="AE23" s="153"/>
      <c r="AF23" s="153"/>
      <c r="AG23" s="153"/>
      <c r="AH23" s="153"/>
      <c r="AI23" s="153"/>
      <c r="AJ23" s="153"/>
      <c r="AK23" s="153"/>
      <c r="AL23" s="153"/>
      <c r="AM23" s="153"/>
      <c r="AN23" s="153"/>
      <c r="AO23" s="153"/>
    </row>
    <row r="24" spans="3:43" x14ac:dyDescent="0.35">
      <c r="D24"/>
      <c r="E24" s="78"/>
      <c r="F24" t="s">
        <v>160</v>
      </c>
      <c r="G24" t="s">
        <v>271</v>
      </c>
      <c r="J24" s="114">
        <f>'Capacity charges'!J256</f>
        <v>0</v>
      </c>
      <c r="K24" s="114">
        <f>'Capacity charges'!K256</f>
        <v>0</v>
      </c>
      <c r="L24" s="114">
        <f>'Capacity charges'!L256</f>
        <v>0</v>
      </c>
      <c r="M24" s="114">
        <f>'Capacity charges'!M256</f>
        <v>0</v>
      </c>
      <c r="N24" s="114">
        <f>'Capacity charges'!N256</f>
        <v>4.102817462086314</v>
      </c>
      <c r="O24" s="114">
        <f>'Capacity charges'!O256</f>
        <v>5.5071913345692804</v>
      </c>
      <c r="P24" s="114">
        <f>'Capacity charges'!P256</f>
        <v>6.4949443898028001</v>
      </c>
      <c r="Q24" s="114">
        <f>'Capacity charges'!Q256</f>
        <v>0</v>
      </c>
      <c r="R24" s="114">
        <f>'Capacity charges'!R256</f>
        <v>0</v>
      </c>
      <c r="S24" s="114">
        <f>'Capacity charges'!S256</f>
        <v>0</v>
      </c>
      <c r="T24" s="114">
        <f>'Capacity charges'!T256</f>
        <v>0</v>
      </c>
      <c r="U24" s="114">
        <f>'Capacity charges'!U256</f>
        <v>0</v>
      </c>
      <c r="V24" s="114">
        <f>'Capacity charges'!V256</f>
        <v>0</v>
      </c>
      <c r="W24" s="114">
        <f>'Capacity charges'!W256</f>
        <v>0</v>
      </c>
      <c r="X24" s="114">
        <f>'Capacity charges'!X256</f>
        <v>0</v>
      </c>
      <c r="Y24" s="114">
        <f>'Capacity charges'!Y256</f>
        <v>0</v>
      </c>
      <c r="Z24" s="153"/>
      <c r="AA24" s="153"/>
      <c r="AB24" s="153"/>
      <c r="AC24" s="153"/>
      <c r="AD24" s="153"/>
      <c r="AE24" s="153"/>
      <c r="AF24" s="153"/>
      <c r="AG24" s="153"/>
      <c r="AH24" s="153"/>
      <c r="AI24" s="153"/>
      <c r="AJ24" s="153"/>
      <c r="AK24" s="153"/>
      <c r="AL24" s="153"/>
      <c r="AM24" s="153"/>
      <c r="AN24" s="153"/>
      <c r="AO24" s="153"/>
    </row>
    <row r="25" spans="3:43" x14ac:dyDescent="0.35">
      <c r="D25"/>
      <c r="E25" s="78"/>
      <c r="F25" t="s">
        <v>161</v>
      </c>
      <c r="G25" t="s">
        <v>271</v>
      </c>
      <c r="J25" s="115">
        <f>'Capacity charges'!J257</f>
        <v>0</v>
      </c>
      <c r="K25" s="115">
        <f>'Capacity charges'!K257</f>
        <v>0</v>
      </c>
      <c r="L25" s="115">
        <f>'Capacity charges'!L257</f>
        <v>0</v>
      </c>
      <c r="M25" s="115">
        <f>'Capacity charges'!M257</f>
        <v>0</v>
      </c>
      <c r="N25" s="115">
        <f>'Capacity charges'!N257</f>
        <v>7.1725728517083365</v>
      </c>
      <c r="O25" s="115">
        <f>'Capacity charges'!O257</f>
        <v>7.0570430446951793</v>
      </c>
      <c r="P25" s="115">
        <f>'Capacity charges'!P257</f>
        <v>7.7468803699975215</v>
      </c>
      <c r="Q25" s="115">
        <f>'Capacity charges'!Q257</f>
        <v>0</v>
      </c>
      <c r="R25" s="115">
        <f>'Capacity charges'!R257</f>
        <v>0</v>
      </c>
      <c r="S25" s="115">
        <f>'Capacity charges'!S257</f>
        <v>0</v>
      </c>
      <c r="T25" s="115">
        <f>'Capacity charges'!T257</f>
        <v>0</v>
      </c>
      <c r="U25" s="115">
        <f>'Capacity charges'!U257</f>
        <v>0</v>
      </c>
      <c r="V25" s="115">
        <f>'Capacity charges'!V257</f>
        <v>0</v>
      </c>
      <c r="W25" s="115">
        <f>'Capacity charges'!W257</f>
        <v>0</v>
      </c>
      <c r="X25" s="115">
        <f>'Capacity charges'!X257</f>
        <v>0</v>
      </c>
      <c r="Y25" s="115">
        <f>'Capacity charges'!Y257</f>
        <v>0</v>
      </c>
      <c r="Z25" s="153"/>
      <c r="AA25" s="153"/>
      <c r="AB25" s="153"/>
      <c r="AC25" s="153"/>
      <c r="AD25" s="153"/>
      <c r="AE25" s="153"/>
      <c r="AF25" s="153"/>
      <c r="AG25" s="153"/>
      <c r="AH25" s="153"/>
      <c r="AI25" s="153"/>
      <c r="AJ25" s="153"/>
      <c r="AK25" s="153"/>
      <c r="AL25" s="153"/>
      <c r="AM25" s="153"/>
      <c r="AN25" s="153"/>
      <c r="AO25" s="153"/>
    </row>
    <row r="26" spans="3:43" x14ac:dyDescent="0.35">
      <c r="D26"/>
      <c r="E26" s="78"/>
      <c r="F26" s="28" t="s">
        <v>162</v>
      </c>
      <c r="G26" s="28" t="s">
        <v>272</v>
      </c>
      <c r="H26" s="258"/>
      <c r="I26" s="258"/>
      <c r="J26" s="272">
        <f>'Reactive power charges'!J250</f>
        <v>0</v>
      </c>
      <c r="K26" s="272">
        <f>'Reactive power charges'!K250</f>
        <v>0</v>
      </c>
      <c r="L26" s="272">
        <f>'Reactive power charges'!L250</f>
        <v>0</v>
      </c>
      <c r="M26" s="272">
        <f>'Reactive power charges'!M250</f>
        <v>0</v>
      </c>
      <c r="N26" s="272">
        <f>'Reactive power charges'!N250</f>
        <v>0.24512613643318029</v>
      </c>
      <c r="O26" s="272">
        <f>'Reactive power charges'!O250</f>
        <v>0.13673476998950587</v>
      </c>
      <c r="P26" s="272">
        <f>'Reactive power charges'!P250</f>
        <v>0.10397606554030356</v>
      </c>
      <c r="Q26" s="272">
        <f>'Reactive power charges'!Q250</f>
        <v>0</v>
      </c>
      <c r="R26" s="272">
        <f>'Reactive power charges'!R250</f>
        <v>0</v>
      </c>
      <c r="S26" s="272">
        <f>'Reactive power charges'!S250</f>
        <v>0</v>
      </c>
      <c r="T26" s="272">
        <f>'Reactive power charges'!T250</f>
        <v>0.25365596464299434</v>
      </c>
      <c r="U26" s="272">
        <f>'Reactive power charges'!U250</f>
        <v>0</v>
      </c>
      <c r="V26" s="272">
        <f>'Reactive power charges'!V250</f>
        <v>0.20991484341611574</v>
      </c>
      <c r="W26" s="272">
        <f>'Reactive power charges'!W250</f>
        <v>0</v>
      </c>
      <c r="X26" s="272">
        <f>'Reactive power charges'!X250</f>
        <v>0.18197756357782038</v>
      </c>
      <c r="Y26" s="272">
        <f>'Reactive power charges'!Y250</f>
        <v>0</v>
      </c>
      <c r="Z26" s="153"/>
      <c r="AA26" s="153"/>
      <c r="AB26" s="153"/>
      <c r="AC26" s="153"/>
      <c r="AD26" s="153"/>
      <c r="AE26" s="153"/>
      <c r="AF26" s="153"/>
      <c r="AG26" s="153"/>
      <c r="AH26" s="153"/>
      <c r="AI26" s="153"/>
      <c r="AJ26" s="153"/>
      <c r="AK26" s="153"/>
      <c r="AL26" s="153"/>
      <c r="AM26" s="153"/>
      <c r="AN26" s="153"/>
      <c r="AO26" s="153"/>
      <c r="AP26" s="256"/>
      <c r="AQ26" s="256"/>
    </row>
    <row r="27" spans="3:43" x14ac:dyDescent="0.35">
      <c r="D27"/>
      <c r="E27" s="78"/>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row>
    <row r="28" spans="3:43" ht="43.5" x14ac:dyDescent="0.35">
      <c r="D28"/>
      <c r="E28" s="78"/>
      <c r="J28" s="226" t="s">
        <v>827</v>
      </c>
      <c r="K28" s="226" t="s">
        <v>829</v>
      </c>
      <c r="L28" s="226" t="s">
        <v>828</v>
      </c>
      <c r="M28" s="226" t="s">
        <v>830</v>
      </c>
      <c r="N28" s="226" t="s">
        <v>836</v>
      </c>
      <c r="O28" s="226" t="s">
        <v>837</v>
      </c>
      <c r="P28" s="226" t="s">
        <v>838</v>
      </c>
      <c r="Q28" s="226" t="s">
        <v>839</v>
      </c>
      <c r="R28" s="226" t="s">
        <v>831</v>
      </c>
      <c r="S28" s="226" t="s">
        <v>832</v>
      </c>
      <c r="T28" s="226" t="s">
        <v>833</v>
      </c>
      <c r="U28" s="226" t="s">
        <v>842</v>
      </c>
      <c r="V28" s="226" t="s">
        <v>834</v>
      </c>
      <c r="W28" s="226" t="s">
        <v>841</v>
      </c>
      <c r="X28" s="226" t="s">
        <v>835</v>
      </c>
      <c r="Y28" s="226" t="s">
        <v>840</v>
      </c>
      <c r="Z28" s="153"/>
      <c r="AA28" s="153"/>
      <c r="AB28" s="153"/>
      <c r="AC28" s="153"/>
      <c r="AD28" s="153"/>
      <c r="AE28" s="153"/>
      <c r="AF28" s="153"/>
      <c r="AG28" s="153"/>
      <c r="AH28" s="153"/>
      <c r="AI28" s="153"/>
      <c r="AJ28" s="153"/>
      <c r="AK28" s="153"/>
      <c r="AL28" s="153"/>
      <c r="AM28" s="153"/>
      <c r="AN28" s="153"/>
      <c r="AO28" s="153"/>
    </row>
    <row r="29" spans="3:43" x14ac:dyDescent="0.35">
      <c r="D29"/>
      <c r="E29" s="23" t="s">
        <v>875</v>
      </c>
      <c r="F29" s="318"/>
      <c r="G29" t="s">
        <v>270</v>
      </c>
      <c r="J29" s="323">
        <f>'SoLR &amp; bad debt adders'!J51</f>
        <v>0.75134981777169907</v>
      </c>
      <c r="K29" s="323">
        <f>'SoLR &amp; bad debt adders'!K51</f>
        <v>0</v>
      </c>
      <c r="L29" s="323">
        <f>'SoLR &amp; bad debt adders'!L51</f>
        <v>0.5241968534583672</v>
      </c>
      <c r="M29" s="323">
        <f>'SoLR &amp; bad debt adders'!M51</f>
        <v>0</v>
      </c>
      <c r="N29" s="323">
        <f>'SoLR &amp; bad debt adders'!N51</f>
        <v>0.5241968534583672</v>
      </c>
      <c r="O29" s="323">
        <f>'SoLR &amp; bad debt adders'!O51</f>
        <v>0.5241968534583672</v>
      </c>
      <c r="P29" s="323">
        <f>'SoLR &amp; bad debt adders'!P51</f>
        <v>0.5241968534583672</v>
      </c>
      <c r="Q29" s="323">
        <f>'SoLR &amp; bad debt adders'!Q51</f>
        <v>0</v>
      </c>
      <c r="R29" s="323">
        <f>'SoLR &amp; bad debt adders'!R51</f>
        <v>0</v>
      </c>
      <c r="S29" s="323">
        <f>'SoLR &amp; bad debt adders'!S51</f>
        <v>0</v>
      </c>
      <c r="T29" s="323">
        <f>'SoLR &amp; bad debt adders'!T51</f>
        <v>0</v>
      </c>
      <c r="U29" s="323">
        <f>'SoLR &amp; bad debt adders'!U51</f>
        <v>0</v>
      </c>
      <c r="V29" s="323">
        <f>'SoLR &amp; bad debt adders'!V51</f>
        <v>0</v>
      </c>
      <c r="W29" s="323">
        <f>'SoLR &amp; bad debt adders'!W51</f>
        <v>0</v>
      </c>
      <c r="X29" s="323">
        <f>'SoLR &amp; bad debt adders'!X51</f>
        <v>0</v>
      </c>
      <c r="Y29" s="323">
        <f>'SoLR &amp; bad debt adders'!Y51</f>
        <v>0</v>
      </c>
      <c r="Z29" s="153"/>
      <c r="AA29" s="153"/>
      <c r="AB29" s="153"/>
      <c r="AC29" s="153"/>
      <c r="AD29" s="153"/>
      <c r="AE29" s="153"/>
      <c r="AF29" s="153"/>
      <c r="AG29" s="153"/>
      <c r="AH29" s="153"/>
      <c r="AI29" s="153"/>
      <c r="AJ29" s="153"/>
      <c r="AK29" s="153"/>
      <c r="AL29" s="153"/>
      <c r="AM29" s="153"/>
      <c r="AN29" s="153"/>
      <c r="AO29" s="153"/>
    </row>
    <row r="30" spans="3:43" x14ac:dyDescent="0.35">
      <c r="D30"/>
      <c r="E30" s="78"/>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3"/>
      <c r="AM30" s="153"/>
      <c r="AN30" s="153"/>
      <c r="AO30" s="153"/>
    </row>
    <row r="31" spans="3:43" x14ac:dyDescent="0.35">
      <c r="D31"/>
      <c r="E31" s="357" t="str">
        <f>'Fixed inputs'!E164</f>
        <v>Flags for calculation of revenue matching</v>
      </c>
    </row>
    <row r="32" spans="3:43" x14ac:dyDescent="0.35">
      <c r="C32" s="24"/>
      <c r="F32" s="19" t="s">
        <v>930</v>
      </c>
      <c r="G32" s="19" t="s">
        <v>907</v>
      </c>
      <c r="H32" s="19"/>
      <c r="I32" s="19"/>
      <c r="J32" s="137" t="b">
        <f>'Fixed inputs'!J165</f>
        <v>1</v>
      </c>
      <c r="K32" s="137" t="b">
        <f>'Fixed inputs'!K165</f>
        <v>0</v>
      </c>
      <c r="L32" s="137" t="b">
        <f>'Fixed inputs'!L165</f>
        <v>0</v>
      </c>
      <c r="M32" s="137" t="b">
        <f>'Fixed inputs'!M165</f>
        <v>1</v>
      </c>
      <c r="N32" s="137" t="b">
        <f>'Fixed inputs'!N165</f>
        <v>1</v>
      </c>
      <c r="O32" s="137" t="b">
        <f>'Fixed inputs'!O165</f>
        <v>1</v>
      </c>
      <c r="P32" s="137" t="b">
        <f>'Fixed inputs'!P165</f>
        <v>1</v>
      </c>
      <c r="Q32" s="137" t="b">
        <f>'Fixed inputs'!Q165</f>
        <v>0</v>
      </c>
      <c r="R32" s="137" t="b">
        <f>'Fixed inputs'!R165</f>
        <v>0</v>
      </c>
      <c r="S32" s="137" t="b">
        <f>'Fixed inputs'!S165</f>
        <v>1</v>
      </c>
      <c r="T32" s="137" t="b">
        <f>'Fixed inputs'!T165</f>
        <v>1</v>
      </c>
      <c r="U32" s="137" t="b">
        <f>'Fixed inputs'!U165</f>
        <v>1</v>
      </c>
      <c r="V32" s="137" t="b">
        <f>'Fixed inputs'!V165</f>
        <v>1</v>
      </c>
      <c r="W32" s="137" t="b">
        <f>'Fixed inputs'!W165</f>
        <v>0</v>
      </c>
      <c r="X32" s="137" t="b">
        <f>'Fixed inputs'!X165</f>
        <v>1</v>
      </c>
      <c r="Y32" s="137" t="b">
        <f>'Fixed inputs'!Y165</f>
        <v>1</v>
      </c>
      <c r="Z32" s="137" t="b">
        <f>'Fixed inputs'!Z165</f>
        <v>1</v>
      </c>
      <c r="AA32" s="137" t="b">
        <f>'Fixed inputs'!AA165</f>
        <v>1</v>
      </c>
      <c r="AB32" s="137" t="b">
        <f>'Fixed inputs'!AB165</f>
        <v>0</v>
      </c>
      <c r="AC32" s="137" t="b">
        <f>'Fixed inputs'!AC165</f>
        <v>1</v>
      </c>
      <c r="AD32" s="137" t="b">
        <f>'Fixed inputs'!AD165</f>
        <v>1</v>
      </c>
      <c r="AE32" s="137" t="b">
        <f>'Fixed inputs'!AE165</f>
        <v>1</v>
      </c>
      <c r="AF32" s="137" t="b">
        <f>'Fixed inputs'!AF165</f>
        <v>1</v>
      </c>
      <c r="AG32" s="137" t="b">
        <f>'Fixed inputs'!AG165</f>
        <v>1</v>
      </c>
      <c r="AH32" s="137" t="b">
        <f>'Fixed inputs'!AH165</f>
        <v>0</v>
      </c>
      <c r="AI32" s="137" t="b">
        <f>'Fixed inputs'!AI165</f>
        <v>0</v>
      </c>
      <c r="AJ32" s="137" t="b">
        <f>'Fixed inputs'!AJ165</f>
        <v>0</v>
      </c>
      <c r="AK32" s="137" t="b">
        <f>'Fixed inputs'!AK165</f>
        <v>0</v>
      </c>
      <c r="AL32" s="137" t="b">
        <f>'Fixed inputs'!AL165</f>
        <v>0</v>
      </c>
      <c r="AM32" s="137" t="b">
        <f>'Fixed inputs'!AM165</f>
        <v>0</v>
      </c>
      <c r="AN32" s="137" t="b">
        <f>'Fixed inputs'!AN165</f>
        <v>0</v>
      </c>
      <c r="AO32" s="137" t="b">
        <f>'Fixed inputs'!AO165</f>
        <v>0</v>
      </c>
    </row>
    <row r="33" spans="3:43" x14ac:dyDescent="0.35">
      <c r="C33" s="24"/>
      <c r="D33"/>
      <c r="F33" t="s">
        <v>942</v>
      </c>
      <c r="G33" t="s">
        <v>907</v>
      </c>
      <c r="J33" s="301" t="b">
        <f>'Fixed inputs'!J166</f>
        <v>1</v>
      </c>
      <c r="K33" s="351"/>
      <c r="L33" s="351"/>
      <c r="M33" s="301" t="b">
        <f>'Fixed inputs'!M166</f>
        <v>1</v>
      </c>
      <c r="N33" s="301" t="b">
        <f>'Fixed inputs'!N166</f>
        <v>1</v>
      </c>
      <c r="O33" s="301" t="b">
        <f>'Fixed inputs'!O166</f>
        <v>1</v>
      </c>
      <c r="P33" s="301" t="b">
        <f>'Fixed inputs'!P166</f>
        <v>1</v>
      </c>
      <c r="Q33" s="351"/>
      <c r="R33" s="351"/>
      <c r="S33" s="301" t="b">
        <f>'Fixed inputs'!S166</f>
        <v>1</v>
      </c>
      <c r="T33" s="301" t="b">
        <f>'Fixed inputs'!T166</f>
        <v>1</v>
      </c>
      <c r="U33" s="301" t="b">
        <f>'Fixed inputs'!U166</f>
        <v>1</v>
      </c>
      <c r="V33" s="301" t="b">
        <f>'Fixed inputs'!V166</f>
        <v>1</v>
      </c>
      <c r="W33" s="351"/>
      <c r="X33" s="301" t="b">
        <f>'Fixed inputs'!X166</f>
        <v>1</v>
      </c>
      <c r="Y33" s="301" t="b">
        <f>'Fixed inputs'!Y166</f>
        <v>1</v>
      </c>
      <c r="Z33" s="301" t="b">
        <f>'Fixed inputs'!Z166</f>
        <v>1</v>
      </c>
      <c r="AA33" s="301" t="b">
        <f>'Fixed inputs'!AA166</f>
        <v>1</v>
      </c>
      <c r="AB33" s="351"/>
      <c r="AC33" s="301" t="b">
        <f>'Fixed inputs'!AC166</f>
        <v>1</v>
      </c>
      <c r="AD33" s="301" t="b">
        <f>'Fixed inputs'!AD166</f>
        <v>1</v>
      </c>
      <c r="AE33" s="301" t="b">
        <f>'Fixed inputs'!AE166</f>
        <v>1</v>
      </c>
      <c r="AF33" s="301" t="b">
        <f>'Fixed inputs'!AF166</f>
        <v>1</v>
      </c>
      <c r="AG33" s="301" t="b">
        <f>'Fixed inputs'!AG166</f>
        <v>0</v>
      </c>
      <c r="AH33" s="351"/>
      <c r="AI33" s="351"/>
      <c r="AJ33" s="351"/>
      <c r="AK33" s="351"/>
      <c r="AL33" s="351"/>
      <c r="AM33" s="351"/>
      <c r="AN33" s="351"/>
      <c r="AO33" s="351"/>
    </row>
    <row r="34" spans="3:43" x14ac:dyDescent="0.35">
      <c r="C34" s="24"/>
      <c r="D34"/>
      <c r="F34" t="s">
        <v>943</v>
      </c>
      <c r="G34" t="s">
        <v>907</v>
      </c>
      <c r="J34" s="301" t="b">
        <f>'Fixed inputs'!J167</f>
        <v>0</v>
      </c>
      <c r="K34" s="351"/>
      <c r="L34" s="351"/>
      <c r="M34" s="301" t="b">
        <f>'Fixed inputs'!M167</f>
        <v>0</v>
      </c>
      <c r="N34" s="301" t="b">
        <f>'Fixed inputs'!N167</f>
        <v>0</v>
      </c>
      <c r="O34" s="301" t="b">
        <f>'Fixed inputs'!O167</f>
        <v>0</v>
      </c>
      <c r="P34" s="301" t="b">
        <f>'Fixed inputs'!P167</f>
        <v>0</v>
      </c>
      <c r="Q34" s="351"/>
      <c r="R34" s="351"/>
      <c r="S34" s="301" t="b">
        <f>'Fixed inputs'!S167</f>
        <v>0</v>
      </c>
      <c r="T34" s="301" t="b">
        <f>'Fixed inputs'!T167</f>
        <v>0</v>
      </c>
      <c r="U34" s="301" t="b">
        <f>'Fixed inputs'!U167</f>
        <v>0</v>
      </c>
      <c r="V34" s="301" t="b">
        <f>'Fixed inputs'!V167</f>
        <v>0</v>
      </c>
      <c r="W34" s="351"/>
      <c r="X34" s="301" t="b">
        <f>'Fixed inputs'!X167</f>
        <v>0</v>
      </c>
      <c r="Y34" s="301" t="b">
        <f>'Fixed inputs'!Y167</f>
        <v>0</v>
      </c>
      <c r="Z34" s="301" t="b">
        <f>'Fixed inputs'!Z167</f>
        <v>0</v>
      </c>
      <c r="AA34" s="301" t="b">
        <f>'Fixed inputs'!AA167</f>
        <v>0</v>
      </c>
      <c r="AB34" s="351"/>
      <c r="AC34" s="301" t="b">
        <f>'Fixed inputs'!AC167</f>
        <v>0</v>
      </c>
      <c r="AD34" s="301" t="b">
        <f>'Fixed inputs'!AD167</f>
        <v>0</v>
      </c>
      <c r="AE34" s="301" t="b">
        <f>'Fixed inputs'!AE167</f>
        <v>0</v>
      </c>
      <c r="AF34" s="301" t="b">
        <f>'Fixed inputs'!AF167</f>
        <v>0</v>
      </c>
      <c r="AG34" s="301" t="b">
        <f>'Fixed inputs'!AG167</f>
        <v>1</v>
      </c>
      <c r="AH34" s="351"/>
      <c r="AI34" s="351"/>
      <c r="AJ34" s="351"/>
      <c r="AK34" s="351"/>
      <c r="AL34" s="351"/>
      <c r="AM34" s="351"/>
      <c r="AN34" s="351"/>
      <c r="AO34" s="351"/>
    </row>
    <row r="35" spans="3:43" x14ac:dyDescent="0.35">
      <c r="F35" t="s">
        <v>940</v>
      </c>
      <c r="G35" t="s">
        <v>149</v>
      </c>
      <c r="J35" s="301">
        <f>'Fixed inputs'!J168</f>
        <v>1</v>
      </c>
      <c r="K35" s="351"/>
      <c r="L35" s="351"/>
      <c r="M35" s="301">
        <f>'Fixed inputs'!M168</f>
        <v>2</v>
      </c>
      <c r="N35" s="301">
        <f>'Fixed inputs'!N168</f>
        <v>2</v>
      </c>
      <c r="O35" s="301">
        <f>'Fixed inputs'!O168</f>
        <v>2</v>
      </c>
      <c r="P35" s="301">
        <f>'Fixed inputs'!P168</f>
        <v>2</v>
      </c>
      <c r="Q35" s="351"/>
      <c r="R35" s="351"/>
      <c r="S35" s="301">
        <f>'Fixed inputs'!S168</f>
        <v>3</v>
      </c>
      <c r="T35" s="301">
        <f>'Fixed inputs'!T168</f>
        <v>3</v>
      </c>
      <c r="U35" s="301">
        <f>'Fixed inputs'!U168</f>
        <v>3</v>
      </c>
      <c r="V35" s="301">
        <f>'Fixed inputs'!V168</f>
        <v>3</v>
      </c>
      <c r="W35" s="351"/>
      <c r="X35" s="301">
        <f>'Fixed inputs'!X168</f>
        <v>3</v>
      </c>
      <c r="Y35" s="301">
        <f>'Fixed inputs'!Y168</f>
        <v>3</v>
      </c>
      <c r="Z35" s="301">
        <f>'Fixed inputs'!Z168</f>
        <v>3</v>
      </c>
      <c r="AA35" s="301">
        <f>'Fixed inputs'!AA168</f>
        <v>3</v>
      </c>
      <c r="AB35" s="351"/>
      <c r="AC35" s="301">
        <f>'Fixed inputs'!AC168</f>
        <v>4</v>
      </c>
      <c r="AD35" s="301">
        <f>'Fixed inputs'!AD168</f>
        <v>4</v>
      </c>
      <c r="AE35" s="301">
        <f>'Fixed inputs'!AE168</f>
        <v>4</v>
      </c>
      <c r="AF35" s="301">
        <f>'Fixed inputs'!AF168</f>
        <v>4</v>
      </c>
      <c r="AG35" s="301">
        <f>'Fixed inputs'!AG168</f>
        <v>5</v>
      </c>
      <c r="AH35" s="351"/>
      <c r="AI35" s="351"/>
      <c r="AJ35" s="351"/>
      <c r="AK35" s="351"/>
      <c r="AL35" s="351"/>
      <c r="AM35" s="351"/>
      <c r="AN35" s="351"/>
      <c r="AO35" s="351"/>
    </row>
    <row r="36" spans="3:43" x14ac:dyDescent="0.35">
      <c r="C36" s="24"/>
      <c r="F36" t="s">
        <v>939</v>
      </c>
      <c r="G36" t="s">
        <v>149</v>
      </c>
      <c r="J36" s="301">
        <f>'Fixed inputs'!J169</f>
        <v>1</v>
      </c>
      <c r="K36" s="351"/>
      <c r="L36" s="351"/>
      <c r="M36" s="301">
        <f>'Fixed inputs'!M169</f>
        <v>1</v>
      </c>
      <c r="N36" s="301">
        <f>'Fixed inputs'!N169</f>
        <v>2</v>
      </c>
      <c r="O36" s="301">
        <f>'Fixed inputs'!O169</f>
        <v>3</v>
      </c>
      <c r="P36" s="301">
        <f>'Fixed inputs'!P169</f>
        <v>4</v>
      </c>
      <c r="Q36" s="351"/>
      <c r="R36" s="351"/>
      <c r="S36" s="301">
        <f>'Fixed inputs'!S169</f>
        <v>1</v>
      </c>
      <c r="T36" s="301">
        <f>'Fixed inputs'!T169</f>
        <v>2</v>
      </c>
      <c r="U36" s="301">
        <f>'Fixed inputs'!U169</f>
        <v>3</v>
      </c>
      <c r="V36" s="301">
        <f>'Fixed inputs'!V169</f>
        <v>4</v>
      </c>
      <c r="W36" s="351"/>
      <c r="X36" s="301">
        <f>'Fixed inputs'!X169</f>
        <v>1</v>
      </c>
      <c r="Y36" s="301">
        <f>'Fixed inputs'!Y169</f>
        <v>2</v>
      </c>
      <c r="Z36" s="301">
        <f>'Fixed inputs'!Z169</f>
        <v>3</v>
      </c>
      <c r="AA36" s="301">
        <f>'Fixed inputs'!AA169</f>
        <v>4</v>
      </c>
      <c r="AB36" s="351"/>
      <c r="AC36" s="301">
        <f>'Fixed inputs'!AC169</f>
        <v>1</v>
      </c>
      <c r="AD36" s="301">
        <f>'Fixed inputs'!AD169</f>
        <v>2</v>
      </c>
      <c r="AE36" s="301">
        <f>'Fixed inputs'!AE169</f>
        <v>3</v>
      </c>
      <c r="AF36" s="301">
        <f>'Fixed inputs'!AF169</f>
        <v>4</v>
      </c>
      <c r="AG36" s="301">
        <f>'Fixed inputs'!AG169</f>
        <v>1</v>
      </c>
      <c r="AH36" s="351"/>
      <c r="AI36" s="351"/>
      <c r="AJ36" s="351"/>
      <c r="AK36" s="351"/>
      <c r="AL36" s="351"/>
      <c r="AM36" s="351"/>
      <c r="AN36" s="351"/>
      <c r="AO36" s="351"/>
    </row>
    <row r="37" spans="3:43" x14ac:dyDescent="0.35">
      <c r="D37" s="78"/>
      <c r="F37" s="57" t="s">
        <v>941</v>
      </c>
      <c r="G37" s="28" t="s">
        <v>149</v>
      </c>
      <c r="H37" s="28"/>
      <c r="I37" s="28"/>
      <c r="J37" s="201">
        <f>'Fixed inputs'!J170</f>
        <v>1</v>
      </c>
      <c r="K37" s="201">
        <f>'Fixed inputs'!K170</f>
        <v>2</v>
      </c>
      <c r="L37" s="201">
        <f>'Fixed inputs'!L170</f>
        <v>3</v>
      </c>
      <c r="M37" s="201">
        <f>'Fixed inputs'!M170</f>
        <v>3</v>
      </c>
      <c r="N37" s="201">
        <f>'Fixed inputs'!N170</f>
        <v>3</v>
      </c>
      <c r="O37" s="201">
        <f>'Fixed inputs'!O170</f>
        <v>3</v>
      </c>
      <c r="P37" s="201">
        <f>'Fixed inputs'!P170</f>
        <v>3</v>
      </c>
      <c r="Q37" s="201">
        <f>'Fixed inputs'!Q170</f>
        <v>4</v>
      </c>
      <c r="R37" s="201">
        <f>'Fixed inputs'!R170</f>
        <v>5</v>
      </c>
      <c r="S37" s="201">
        <f>'Fixed inputs'!S170</f>
        <v>5</v>
      </c>
      <c r="T37" s="201">
        <f>'Fixed inputs'!T170</f>
        <v>5</v>
      </c>
      <c r="U37" s="201">
        <f>'Fixed inputs'!U170</f>
        <v>5</v>
      </c>
      <c r="V37" s="201">
        <f>'Fixed inputs'!V170</f>
        <v>5</v>
      </c>
      <c r="W37" s="201">
        <f>'Fixed inputs'!W170</f>
        <v>6</v>
      </c>
      <c r="X37" s="201">
        <f>'Fixed inputs'!X170</f>
        <v>6</v>
      </c>
      <c r="Y37" s="201">
        <f>'Fixed inputs'!Y170</f>
        <v>6</v>
      </c>
      <c r="Z37" s="201">
        <f>'Fixed inputs'!Z170</f>
        <v>6</v>
      </c>
      <c r="AA37" s="201">
        <f>'Fixed inputs'!AA170</f>
        <v>6</v>
      </c>
      <c r="AB37" s="201">
        <f>'Fixed inputs'!AB170</f>
        <v>7</v>
      </c>
      <c r="AC37" s="201">
        <f>'Fixed inputs'!AC170</f>
        <v>7</v>
      </c>
      <c r="AD37" s="201">
        <f>'Fixed inputs'!AD170</f>
        <v>7</v>
      </c>
      <c r="AE37" s="201">
        <f>'Fixed inputs'!AE170</f>
        <v>7</v>
      </c>
      <c r="AF37" s="201">
        <f>'Fixed inputs'!AF170</f>
        <v>7</v>
      </c>
      <c r="AG37" s="201">
        <f>'Fixed inputs'!AG170</f>
        <v>8</v>
      </c>
      <c r="AH37" s="201">
        <f>'Fixed inputs'!AH170</f>
        <v>9</v>
      </c>
      <c r="AI37" s="201">
        <f>'Fixed inputs'!AI170</f>
        <v>10</v>
      </c>
      <c r="AJ37" s="201">
        <f>'Fixed inputs'!AJ170</f>
        <v>11</v>
      </c>
      <c r="AK37" s="201">
        <f>'Fixed inputs'!AK170</f>
        <v>12</v>
      </c>
      <c r="AL37" s="201">
        <f>'Fixed inputs'!AL170</f>
        <v>13</v>
      </c>
      <c r="AM37" s="201">
        <f>'Fixed inputs'!AM170</f>
        <v>14</v>
      </c>
      <c r="AN37" s="201">
        <f>'Fixed inputs'!AN170</f>
        <v>15</v>
      </c>
      <c r="AO37" s="201">
        <f>'Fixed inputs'!AO170</f>
        <v>16</v>
      </c>
    </row>
    <row r="38" spans="3:43" x14ac:dyDescent="0.35">
      <c r="C38" s="24"/>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59"/>
      <c r="AL38" s="159"/>
      <c r="AM38" s="159"/>
      <c r="AN38" s="159"/>
      <c r="AO38" s="159"/>
    </row>
    <row r="39" spans="3:43" x14ac:dyDescent="0.35">
      <c r="D39"/>
      <c r="E39" s="27" t="s">
        <v>733</v>
      </c>
      <c r="F39" s="27"/>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row>
    <row r="40" spans="3:43" x14ac:dyDescent="0.35">
      <c r="D40"/>
      <c r="E40" s="78"/>
      <c r="F40" s="19" t="s">
        <v>156</v>
      </c>
      <c r="G40" s="19" t="s">
        <v>269</v>
      </c>
      <c r="H40" s="255"/>
      <c r="I40" s="255"/>
      <c r="J40" s="263">
        <f t="shared" ref="J40:AO40" si="0">INDEX($J20:$Y20,J$37)</f>
        <v>9.3171116944398857</v>
      </c>
      <c r="K40" s="263">
        <f t="shared" si="0"/>
        <v>9.3171116944398857</v>
      </c>
      <c r="L40" s="263">
        <f t="shared" si="0"/>
        <v>8.7153701226779656</v>
      </c>
      <c r="M40" s="263">
        <f t="shared" si="0"/>
        <v>8.7153701226779656</v>
      </c>
      <c r="N40" s="263">
        <f t="shared" si="0"/>
        <v>8.7153701226779656</v>
      </c>
      <c r="O40" s="263">
        <f t="shared" si="0"/>
        <v>8.7153701226779656</v>
      </c>
      <c r="P40" s="263">
        <f t="shared" si="0"/>
        <v>8.7153701226779656</v>
      </c>
      <c r="Q40" s="263">
        <f t="shared" si="0"/>
        <v>8.7153701226779656</v>
      </c>
      <c r="R40" s="263">
        <f t="shared" si="0"/>
        <v>6.8094647784894793</v>
      </c>
      <c r="S40" s="263">
        <f t="shared" si="0"/>
        <v>6.8094647784894793</v>
      </c>
      <c r="T40" s="263">
        <f t="shared" si="0"/>
        <v>6.8094647784894793</v>
      </c>
      <c r="U40" s="263">
        <f t="shared" si="0"/>
        <v>6.8094647784894793</v>
      </c>
      <c r="V40" s="263">
        <f t="shared" si="0"/>
        <v>6.8094647784894793</v>
      </c>
      <c r="W40" s="263">
        <f t="shared" si="0"/>
        <v>4.5451823626979291</v>
      </c>
      <c r="X40" s="263">
        <f t="shared" si="0"/>
        <v>4.5451823626979291</v>
      </c>
      <c r="Y40" s="263">
        <f t="shared" si="0"/>
        <v>4.5451823626979291</v>
      </c>
      <c r="Z40" s="263">
        <f t="shared" si="0"/>
        <v>4.5451823626979291</v>
      </c>
      <c r="AA40" s="263">
        <f t="shared" si="0"/>
        <v>4.5451823626979291</v>
      </c>
      <c r="AB40" s="263">
        <f t="shared" si="0"/>
        <v>3.6111056246732378</v>
      </c>
      <c r="AC40" s="263">
        <f t="shared" si="0"/>
        <v>3.6111056246732378</v>
      </c>
      <c r="AD40" s="263">
        <f t="shared" si="0"/>
        <v>3.6111056246732378</v>
      </c>
      <c r="AE40" s="263">
        <f t="shared" si="0"/>
        <v>3.6111056246732378</v>
      </c>
      <c r="AF40" s="263">
        <f t="shared" si="0"/>
        <v>3.6111056246732378</v>
      </c>
      <c r="AG40" s="263">
        <f t="shared" si="0"/>
        <v>25.14626087817571</v>
      </c>
      <c r="AH40" s="263">
        <f t="shared" si="0"/>
        <v>-6.4671088642966206</v>
      </c>
      <c r="AI40" s="263">
        <f t="shared" si="0"/>
        <v>-5.7431990235840562</v>
      </c>
      <c r="AJ40" s="263">
        <f t="shared" si="0"/>
        <v>-6.4671088642966206</v>
      </c>
      <c r="AK40" s="263">
        <f t="shared" si="0"/>
        <v>-6.4671088642966206</v>
      </c>
      <c r="AL40" s="263">
        <f t="shared" si="0"/>
        <v>-5.7431990235840562</v>
      </c>
      <c r="AM40" s="263">
        <f t="shared" si="0"/>
        <v>-5.7431990235840562</v>
      </c>
      <c r="AN40" s="263">
        <f t="shared" si="0"/>
        <v>-4.4077410438205549</v>
      </c>
      <c r="AO40" s="263">
        <f t="shared" si="0"/>
        <v>-4.4077410438205549</v>
      </c>
      <c r="AP40" s="256"/>
      <c r="AQ40" s="256"/>
    </row>
    <row r="41" spans="3:43" x14ac:dyDescent="0.35">
      <c r="D41"/>
      <c r="E41" s="78"/>
      <c r="F41" t="s">
        <v>157</v>
      </c>
      <c r="G41" t="s">
        <v>269</v>
      </c>
      <c r="H41" s="256"/>
      <c r="I41" s="256"/>
      <c r="J41" s="264">
        <f t="shared" ref="J41:AO41" si="1">INDEX($J21:$Y21,J$37)</f>
        <v>1.1840664639985359</v>
      </c>
      <c r="K41" s="264">
        <f t="shared" si="1"/>
        <v>1.1840664639985359</v>
      </c>
      <c r="L41" s="264">
        <f t="shared" si="1"/>
        <v>1.1075940508211499</v>
      </c>
      <c r="M41" s="264">
        <f t="shared" si="1"/>
        <v>1.1075940508211499</v>
      </c>
      <c r="N41" s="264">
        <f t="shared" si="1"/>
        <v>1.1075940508211499</v>
      </c>
      <c r="O41" s="264">
        <f t="shared" si="1"/>
        <v>1.1075940508211499</v>
      </c>
      <c r="P41" s="264">
        <f t="shared" si="1"/>
        <v>1.1075940508211499</v>
      </c>
      <c r="Q41" s="264">
        <f t="shared" si="1"/>
        <v>1.1075940508211499</v>
      </c>
      <c r="R41" s="264">
        <f t="shared" si="1"/>
        <v>0.74505952499466721</v>
      </c>
      <c r="S41" s="264">
        <f t="shared" si="1"/>
        <v>0.74505952499466721</v>
      </c>
      <c r="T41" s="264">
        <f t="shared" si="1"/>
        <v>0.74505952499466721</v>
      </c>
      <c r="U41" s="264">
        <f t="shared" si="1"/>
        <v>0.74505952499466721</v>
      </c>
      <c r="V41" s="264">
        <f t="shared" si="1"/>
        <v>0.74505952499466721</v>
      </c>
      <c r="W41" s="264">
        <f t="shared" si="1"/>
        <v>0.34012821867000353</v>
      </c>
      <c r="X41" s="264">
        <f t="shared" si="1"/>
        <v>0.34012821867000353</v>
      </c>
      <c r="Y41" s="264">
        <f t="shared" si="1"/>
        <v>0.34012821867000353</v>
      </c>
      <c r="Z41" s="264">
        <f t="shared" si="1"/>
        <v>0.34012821867000353</v>
      </c>
      <c r="AA41" s="264">
        <f t="shared" si="1"/>
        <v>0.34012821867000353</v>
      </c>
      <c r="AB41" s="264">
        <f t="shared" si="1"/>
        <v>0.23969521230552152</v>
      </c>
      <c r="AC41" s="264">
        <f t="shared" si="1"/>
        <v>0.23969521230552152</v>
      </c>
      <c r="AD41" s="264">
        <f t="shared" si="1"/>
        <v>0.23969521230552152</v>
      </c>
      <c r="AE41" s="264">
        <f t="shared" si="1"/>
        <v>0.23969521230552152</v>
      </c>
      <c r="AF41" s="264">
        <f t="shared" si="1"/>
        <v>0.23969521230552152</v>
      </c>
      <c r="AG41" s="264">
        <f t="shared" si="1"/>
        <v>3.9724336516911984</v>
      </c>
      <c r="AH41" s="264">
        <f t="shared" si="1"/>
        <v>-0.82187344923759953</v>
      </c>
      <c r="AI41" s="264">
        <f t="shared" si="1"/>
        <v>-0.66738501200260569</v>
      </c>
      <c r="AJ41" s="264">
        <f t="shared" si="1"/>
        <v>-0.82187344923759953</v>
      </c>
      <c r="AK41" s="264">
        <f t="shared" si="1"/>
        <v>-0.82187344923759953</v>
      </c>
      <c r="AL41" s="264">
        <f t="shared" si="1"/>
        <v>-0.66738501200260569</v>
      </c>
      <c r="AM41" s="264">
        <f t="shared" si="1"/>
        <v>-0.66738501200260569</v>
      </c>
      <c r="AN41" s="264">
        <f t="shared" si="1"/>
        <v>-0.32883259082754929</v>
      </c>
      <c r="AO41" s="264">
        <f t="shared" si="1"/>
        <v>-0.32883259082754929</v>
      </c>
      <c r="AP41" s="256"/>
      <c r="AQ41" s="256"/>
    </row>
    <row r="42" spans="3:43" x14ac:dyDescent="0.35">
      <c r="D42"/>
      <c r="E42" s="78"/>
      <c r="F42" t="s">
        <v>158</v>
      </c>
      <c r="G42" t="s">
        <v>269</v>
      </c>
      <c r="H42" s="256"/>
      <c r="I42" s="256"/>
      <c r="J42" s="264">
        <f t="shared" ref="J42:AO42" si="2">INDEX($J22:$Y22,J$37)</f>
        <v>5.710557616527933E-2</v>
      </c>
      <c r="K42" s="264">
        <f t="shared" si="2"/>
        <v>5.710557616527933E-2</v>
      </c>
      <c r="L42" s="264">
        <f t="shared" si="2"/>
        <v>5.3417437578449689E-2</v>
      </c>
      <c r="M42" s="264">
        <f t="shared" si="2"/>
        <v>5.3417437578449689E-2</v>
      </c>
      <c r="N42" s="264">
        <f t="shared" si="2"/>
        <v>5.3417437578449689E-2</v>
      </c>
      <c r="O42" s="264">
        <f t="shared" si="2"/>
        <v>5.3417437578449689E-2</v>
      </c>
      <c r="P42" s="264">
        <f t="shared" si="2"/>
        <v>5.3417437578449689E-2</v>
      </c>
      <c r="Q42" s="264">
        <f t="shared" si="2"/>
        <v>5.3417437578449689E-2</v>
      </c>
      <c r="R42" s="264">
        <f t="shared" si="2"/>
        <v>3.5352393244154082E-2</v>
      </c>
      <c r="S42" s="264">
        <f t="shared" si="2"/>
        <v>3.5352393244154082E-2</v>
      </c>
      <c r="T42" s="264">
        <f t="shared" si="2"/>
        <v>3.5352393244154082E-2</v>
      </c>
      <c r="U42" s="264">
        <f t="shared" si="2"/>
        <v>3.5352393244154082E-2</v>
      </c>
      <c r="V42" s="264">
        <f t="shared" si="2"/>
        <v>3.5352393244154082E-2</v>
      </c>
      <c r="W42" s="264">
        <f t="shared" si="2"/>
        <v>1.5257810460316851E-2</v>
      </c>
      <c r="X42" s="264">
        <f t="shared" si="2"/>
        <v>1.5257810460316851E-2</v>
      </c>
      <c r="Y42" s="264">
        <f t="shared" si="2"/>
        <v>1.5257810460316851E-2</v>
      </c>
      <c r="Z42" s="264">
        <f t="shared" si="2"/>
        <v>1.5257810460316851E-2</v>
      </c>
      <c r="AA42" s="264">
        <f t="shared" si="2"/>
        <v>1.5257810460316851E-2</v>
      </c>
      <c r="AB42" s="264">
        <f t="shared" si="2"/>
        <v>1.0544425190881661E-2</v>
      </c>
      <c r="AC42" s="264">
        <f t="shared" si="2"/>
        <v>1.0544425190881661E-2</v>
      </c>
      <c r="AD42" s="264">
        <f t="shared" si="2"/>
        <v>1.0544425190881661E-2</v>
      </c>
      <c r="AE42" s="264">
        <f t="shared" si="2"/>
        <v>1.0544425190881661E-2</v>
      </c>
      <c r="AF42" s="264">
        <f t="shared" si="2"/>
        <v>1.0544425190881661E-2</v>
      </c>
      <c r="AG42" s="264">
        <f t="shared" si="2"/>
        <v>2.9210578444349151</v>
      </c>
      <c r="AH42" s="264">
        <f t="shared" si="2"/>
        <v>-3.9637603361526004E-2</v>
      </c>
      <c r="AI42" s="264">
        <f t="shared" si="2"/>
        <v>-3.1885340997794977E-2</v>
      </c>
      <c r="AJ42" s="264">
        <f t="shared" si="2"/>
        <v>-3.9637603361526004E-2</v>
      </c>
      <c r="AK42" s="264">
        <f t="shared" si="2"/>
        <v>-3.9637603361526004E-2</v>
      </c>
      <c r="AL42" s="264">
        <f t="shared" si="2"/>
        <v>-3.1885340997794977E-2</v>
      </c>
      <c r="AM42" s="264">
        <f t="shared" si="2"/>
        <v>-3.1885340997794977E-2</v>
      </c>
      <c r="AN42" s="264">
        <f t="shared" si="2"/>
        <v>-1.4744214024831974E-2</v>
      </c>
      <c r="AO42" s="264">
        <f t="shared" si="2"/>
        <v>-1.4744214024831974E-2</v>
      </c>
      <c r="AP42" s="256"/>
      <c r="AQ42" s="256"/>
    </row>
    <row r="43" spans="3:43" x14ac:dyDescent="0.35">
      <c r="D43"/>
      <c r="E43" s="78"/>
      <c r="F43" t="s">
        <v>159</v>
      </c>
      <c r="G43" t="s">
        <v>270</v>
      </c>
      <c r="J43" s="189">
        <f t="shared" ref="J43:AO43" si="3">INDEX($J23:$Y23,J$37)</f>
        <v>5.6406043448534398</v>
      </c>
      <c r="K43" s="189">
        <f t="shared" si="3"/>
        <v>0</v>
      </c>
      <c r="L43" s="189">
        <f t="shared" si="3"/>
        <v>9.5772354491088763</v>
      </c>
      <c r="M43" s="189">
        <f t="shared" si="3"/>
        <v>9.5772354491088763</v>
      </c>
      <c r="N43" s="189">
        <f t="shared" si="3"/>
        <v>9.5772354491088763</v>
      </c>
      <c r="O43" s="189">
        <f t="shared" si="3"/>
        <v>9.5772354491088763</v>
      </c>
      <c r="P43" s="189">
        <f t="shared" si="3"/>
        <v>9.5772354491088763</v>
      </c>
      <c r="Q43" s="189">
        <f t="shared" si="3"/>
        <v>0</v>
      </c>
      <c r="R43" s="189">
        <f t="shared" si="3"/>
        <v>22.808539817430944</v>
      </c>
      <c r="S43" s="189">
        <f t="shared" si="3"/>
        <v>22.808539817430944</v>
      </c>
      <c r="T43" s="189">
        <f t="shared" si="3"/>
        <v>22.808539817430944</v>
      </c>
      <c r="U43" s="189">
        <f t="shared" si="3"/>
        <v>22.808539817430944</v>
      </c>
      <c r="V43" s="189">
        <f t="shared" si="3"/>
        <v>22.808539817430944</v>
      </c>
      <c r="W43" s="189">
        <f t="shared" si="3"/>
        <v>58.506264025464517</v>
      </c>
      <c r="X43" s="189">
        <f t="shared" si="3"/>
        <v>58.506264025464517</v>
      </c>
      <c r="Y43" s="189">
        <f t="shared" si="3"/>
        <v>58.506264025464517</v>
      </c>
      <c r="Z43" s="189">
        <f t="shared" si="3"/>
        <v>58.506264025464517</v>
      </c>
      <c r="AA43" s="189">
        <f t="shared" si="3"/>
        <v>58.506264025464517</v>
      </c>
      <c r="AB43" s="189">
        <f t="shared" si="3"/>
        <v>209.1390454732356</v>
      </c>
      <c r="AC43" s="189">
        <f t="shared" si="3"/>
        <v>209.1390454732356</v>
      </c>
      <c r="AD43" s="189">
        <f t="shared" si="3"/>
        <v>209.1390454732356</v>
      </c>
      <c r="AE43" s="189">
        <f t="shared" si="3"/>
        <v>209.1390454732356</v>
      </c>
      <c r="AF43" s="189">
        <f t="shared" si="3"/>
        <v>209.1390454732356</v>
      </c>
      <c r="AG43" s="189">
        <f t="shared" si="3"/>
        <v>0</v>
      </c>
      <c r="AH43" s="189">
        <f t="shared" si="3"/>
        <v>0</v>
      </c>
      <c r="AI43" s="189">
        <f t="shared" si="3"/>
        <v>0</v>
      </c>
      <c r="AJ43" s="189">
        <f t="shared" si="3"/>
        <v>0</v>
      </c>
      <c r="AK43" s="189">
        <f t="shared" si="3"/>
        <v>0</v>
      </c>
      <c r="AL43" s="189">
        <f t="shared" si="3"/>
        <v>0</v>
      </c>
      <c r="AM43" s="189">
        <f t="shared" si="3"/>
        <v>0</v>
      </c>
      <c r="AN43" s="189">
        <f t="shared" si="3"/>
        <v>416.37953829088679</v>
      </c>
      <c r="AO43" s="189">
        <f t="shared" si="3"/>
        <v>416.37953829088679</v>
      </c>
    </row>
    <row r="44" spans="3:43" x14ac:dyDescent="0.35">
      <c r="D44"/>
      <c r="E44" s="78"/>
      <c r="F44" t="s">
        <v>160</v>
      </c>
      <c r="G44" t="s">
        <v>271</v>
      </c>
      <c r="J44" s="189">
        <f t="shared" ref="J44:AO44" si="4">INDEX($J24:$Y24,J$37)</f>
        <v>0</v>
      </c>
      <c r="K44" s="189">
        <f t="shared" si="4"/>
        <v>0</v>
      </c>
      <c r="L44" s="189">
        <f t="shared" si="4"/>
        <v>0</v>
      </c>
      <c r="M44" s="189">
        <f t="shared" si="4"/>
        <v>0</v>
      </c>
      <c r="N44" s="189">
        <f t="shared" si="4"/>
        <v>0</v>
      </c>
      <c r="O44" s="189">
        <f t="shared" si="4"/>
        <v>0</v>
      </c>
      <c r="P44" s="189">
        <f t="shared" si="4"/>
        <v>0</v>
      </c>
      <c r="Q44" s="189">
        <f t="shared" si="4"/>
        <v>0</v>
      </c>
      <c r="R44" s="189">
        <f t="shared" si="4"/>
        <v>4.102817462086314</v>
      </c>
      <c r="S44" s="189">
        <f t="shared" si="4"/>
        <v>4.102817462086314</v>
      </c>
      <c r="T44" s="189">
        <f t="shared" si="4"/>
        <v>4.102817462086314</v>
      </c>
      <c r="U44" s="189">
        <f t="shared" si="4"/>
        <v>4.102817462086314</v>
      </c>
      <c r="V44" s="189">
        <f t="shared" si="4"/>
        <v>4.102817462086314</v>
      </c>
      <c r="W44" s="189">
        <f t="shared" si="4"/>
        <v>5.5071913345692804</v>
      </c>
      <c r="X44" s="189">
        <f t="shared" si="4"/>
        <v>5.5071913345692804</v>
      </c>
      <c r="Y44" s="189">
        <f t="shared" si="4"/>
        <v>5.5071913345692804</v>
      </c>
      <c r="Z44" s="189">
        <f t="shared" si="4"/>
        <v>5.5071913345692804</v>
      </c>
      <c r="AA44" s="189">
        <f t="shared" si="4"/>
        <v>5.5071913345692804</v>
      </c>
      <c r="AB44" s="189">
        <f t="shared" si="4"/>
        <v>6.4949443898028001</v>
      </c>
      <c r="AC44" s="189">
        <f t="shared" si="4"/>
        <v>6.4949443898028001</v>
      </c>
      <c r="AD44" s="189">
        <f t="shared" si="4"/>
        <v>6.4949443898028001</v>
      </c>
      <c r="AE44" s="189">
        <f t="shared" si="4"/>
        <v>6.4949443898028001</v>
      </c>
      <c r="AF44" s="189">
        <f t="shared" si="4"/>
        <v>6.4949443898028001</v>
      </c>
      <c r="AG44" s="189">
        <f t="shared" si="4"/>
        <v>0</v>
      </c>
      <c r="AH44" s="189">
        <f t="shared" si="4"/>
        <v>0</v>
      </c>
      <c r="AI44" s="189">
        <f t="shared" si="4"/>
        <v>0</v>
      </c>
      <c r="AJ44" s="189">
        <f t="shared" si="4"/>
        <v>0</v>
      </c>
      <c r="AK44" s="189">
        <f t="shared" si="4"/>
        <v>0</v>
      </c>
      <c r="AL44" s="189">
        <f t="shared" si="4"/>
        <v>0</v>
      </c>
      <c r="AM44" s="189">
        <f t="shared" si="4"/>
        <v>0</v>
      </c>
      <c r="AN44" s="189">
        <f t="shared" si="4"/>
        <v>0</v>
      </c>
      <c r="AO44" s="189">
        <f t="shared" si="4"/>
        <v>0</v>
      </c>
    </row>
    <row r="45" spans="3:43" x14ac:dyDescent="0.35">
      <c r="D45"/>
      <c r="E45" s="78"/>
      <c r="F45" t="s">
        <v>161</v>
      </c>
      <c r="G45" t="s">
        <v>271</v>
      </c>
      <c r="J45" s="189">
        <f t="shared" ref="J45:AO45" si="5">INDEX($J25:$Y25,J$37)</f>
        <v>0</v>
      </c>
      <c r="K45" s="189">
        <f t="shared" si="5"/>
        <v>0</v>
      </c>
      <c r="L45" s="189">
        <f t="shared" si="5"/>
        <v>0</v>
      </c>
      <c r="M45" s="189">
        <f t="shared" si="5"/>
        <v>0</v>
      </c>
      <c r="N45" s="189">
        <f t="shared" si="5"/>
        <v>0</v>
      </c>
      <c r="O45" s="189">
        <f t="shared" si="5"/>
        <v>0</v>
      </c>
      <c r="P45" s="189">
        <f t="shared" si="5"/>
        <v>0</v>
      </c>
      <c r="Q45" s="189">
        <f t="shared" si="5"/>
        <v>0</v>
      </c>
      <c r="R45" s="189">
        <f t="shared" si="5"/>
        <v>7.1725728517083365</v>
      </c>
      <c r="S45" s="189">
        <f t="shared" si="5"/>
        <v>7.1725728517083365</v>
      </c>
      <c r="T45" s="189">
        <f t="shared" si="5"/>
        <v>7.1725728517083365</v>
      </c>
      <c r="U45" s="189">
        <f t="shared" si="5"/>
        <v>7.1725728517083365</v>
      </c>
      <c r="V45" s="189">
        <f t="shared" si="5"/>
        <v>7.1725728517083365</v>
      </c>
      <c r="W45" s="189">
        <f t="shared" si="5"/>
        <v>7.0570430446951793</v>
      </c>
      <c r="X45" s="189">
        <f t="shared" si="5"/>
        <v>7.0570430446951793</v>
      </c>
      <c r="Y45" s="189">
        <f t="shared" si="5"/>
        <v>7.0570430446951793</v>
      </c>
      <c r="Z45" s="189">
        <f t="shared" si="5"/>
        <v>7.0570430446951793</v>
      </c>
      <c r="AA45" s="189">
        <f t="shared" si="5"/>
        <v>7.0570430446951793</v>
      </c>
      <c r="AB45" s="189">
        <f t="shared" si="5"/>
        <v>7.7468803699975215</v>
      </c>
      <c r="AC45" s="189">
        <f t="shared" si="5"/>
        <v>7.7468803699975215</v>
      </c>
      <c r="AD45" s="189">
        <f t="shared" si="5"/>
        <v>7.7468803699975215</v>
      </c>
      <c r="AE45" s="189">
        <f t="shared" si="5"/>
        <v>7.7468803699975215</v>
      </c>
      <c r="AF45" s="189">
        <f t="shared" si="5"/>
        <v>7.7468803699975215</v>
      </c>
      <c r="AG45" s="189">
        <f t="shared" si="5"/>
        <v>0</v>
      </c>
      <c r="AH45" s="189">
        <f t="shared" si="5"/>
        <v>0</v>
      </c>
      <c r="AI45" s="189">
        <f t="shared" si="5"/>
        <v>0</v>
      </c>
      <c r="AJ45" s="189">
        <f t="shared" si="5"/>
        <v>0</v>
      </c>
      <c r="AK45" s="189">
        <f t="shared" si="5"/>
        <v>0</v>
      </c>
      <c r="AL45" s="189">
        <f t="shared" si="5"/>
        <v>0</v>
      </c>
      <c r="AM45" s="189">
        <f t="shared" si="5"/>
        <v>0</v>
      </c>
      <c r="AN45" s="189">
        <f t="shared" si="5"/>
        <v>0</v>
      </c>
      <c r="AO45" s="189">
        <f t="shared" si="5"/>
        <v>0</v>
      </c>
    </row>
    <row r="46" spans="3:43" x14ac:dyDescent="0.35">
      <c r="D46"/>
      <c r="E46" s="78"/>
      <c r="F46" s="28" t="s">
        <v>162</v>
      </c>
      <c r="G46" s="28" t="s">
        <v>272</v>
      </c>
      <c r="H46" s="258"/>
      <c r="I46" s="258"/>
      <c r="J46" s="265">
        <f t="shared" ref="J46:AO46" si="6">INDEX($J26:$Y26,J$37)</f>
        <v>0</v>
      </c>
      <c r="K46" s="265">
        <f t="shared" si="6"/>
        <v>0</v>
      </c>
      <c r="L46" s="265">
        <f t="shared" si="6"/>
        <v>0</v>
      </c>
      <c r="M46" s="265">
        <f t="shared" si="6"/>
        <v>0</v>
      </c>
      <c r="N46" s="265">
        <f t="shared" si="6"/>
        <v>0</v>
      </c>
      <c r="O46" s="265">
        <f t="shared" si="6"/>
        <v>0</v>
      </c>
      <c r="P46" s="265">
        <f t="shared" si="6"/>
        <v>0</v>
      </c>
      <c r="Q46" s="265">
        <f t="shared" si="6"/>
        <v>0</v>
      </c>
      <c r="R46" s="265">
        <f t="shared" si="6"/>
        <v>0.24512613643318029</v>
      </c>
      <c r="S46" s="265">
        <f t="shared" si="6"/>
        <v>0.24512613643318029</v>
      </c>
      <c r="T46" s="265">
        <f t="shared" si="6"/>
        <v>0.24512613643318029</v>
      </c>
      <c r="U46" s="265">
        <f t="shared" si="6"/>
        <v>0.24512613643318029</v>
      </c>
      <c r="V46" s="265">
        <f t="shared" si="6"/>
        <v>0.24512613643318029</v>
      </c>
      <c r="W46" s="265">
        <f t="shared" si="6"/>
        <v>0.13673476998950587</v>
      </c>
      <c r="X46" s="265">
        <f t="shared" si="6"/>
        <v>0.13673476998950587</v>
      </c>
      <c r="Y46" s="265">
        <f t="shared" si="6"/>
        <v>0.13673476998950587</v>
      </c>
      <c r="Z46" s="265">
        <f t="shared" si="6"/>
        <v>0.13673476998950587</v>
      </c>
      <c r="AA46" s="265">
        <f t="shared" si="6"/>
        <v>0.13673476998950587</v>
      </c>
      <c r="AB46" s="265">
        <f t="shared" si="6"/>
        <v>0.10397606554030356</v>
      </c>
      <c r="AC46" s="265">
        <f t="shared" si="6"/>
        <v>0.10397606554030356</v>
      </c>
      <c r="AD46" s="265">
        <f t="shared" si="6"/>
        <v>0.10397606554030356</v>
      </c>
      <c r="AE46" s="265">
        <f t="shared" si="6"/>
        <v>0.10397606554030356</v>
      </c>
      <c r="AF46" s="265">
        <f t="shared" si="6"/>
        <v>0.10397606554030356</v>
      </c>
      <c r="AG46" s="265">
        <f t="shared" si="6"/>
        <v>0</v>
      </c>
      <c r="AH46" s="265">
        <f t="shared" si="6"/>
        <v>0</v>
      </c>
      <c r="AI46" s="265">
        <f t="shared" si="6"/>
        <v>0</v>
      </c>
      <c r="AJ46" s="265">
        <f t="shared" si="6"/>
        <v>0.25365596464299434</v>
      </c>
      <c r="AK46" s="265">
        <f t="shared" si="6"/>
        <v>0</v>
      </c>
      <c r="AL46" s="265">
        <f t="shared" si="6"/>
        <v>0.20991484341611574</v>
      </c>
      <c r="AM46" s="265">
        <f t="shared" si="6"/>
        <v>0</v>
      </c>
      <c r="AN46" s="265">
        <f t="shared" si="6"/>
        <v>0.18197756357782038</v>
      </c>
      <c r="AO46" s="265">
        <f t="shared" si="6"/>
        <v>0</v>
      </c>
      <c r="AP46" s="256"/>
      <c r="AQ46" s="256"/>
    </row>
    <row r="47" spans="3:43" x14ac:dyDescent="0.35">
      <c r="D47"/>
      <c r="E47" s="78"/>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3"/>
      <c r="AJ47" s="153"/>
      <c r="AK47" s="153"/>
      <c r="AL47" s="153"/>
      <c r="AM47" s="153"/>
      <c r="AN47" s="153"/>
      <c r="AO47" s="153"/>
    </row>
    <row r="48" spans="3:43" x14ac:dyDescent="0.35">
      <c r="D48"/>
      <c r="E48" s="23" t="s">
        <v>875</v>
      </c>
      <c r="F48" s="318"/>
      <c r="G48" t="s">
        <v>270</v>
      </c>
      <c r="J48" s="189">
        <f>INDEX($J29:$Y29,J$37)</f>
        <v>0.75134981777169907</v>
      </c>
      <c r="K48" s="189">
        <f t="shared" ref="K48:AO48" si="7">INDEX($J29:$Y29,K$37)</f>
        <v>0</v>
      </c>
      <c r="L48" s="189">
        <f t="shared" si="7"/>
        <v>0.5241968534583672</v>
      </c>
      <c r="M48" s="189">
        <f t="shared" si="7"/>
        <v>0.5241968534583672</v>
      </c>
      <c r="N48" s="189">
        <f t="shared" si="7"/>
        <v>0.5241968534583672</v>
      </c>
      <c r="O48" s="189">
        <f t="shared" si="7"/>
        <v>0.5241968534583672</v>
      </c>
      <c r="P48" s="189">
        <f t="shared" si="7"/>
        <v>0.5241968534583672</v>
      </c>
      <c r="Q48" s="189">
        <f t="shared" si="7"/>
        <v>0</v>
      </c>
      <c r="R48" s="189">
        <f t="shared" si="7"/>
        <v>0.5241968534583672</v>
      </c>
      <c r="S48" s="189">
        <f t="shared" si="7"/>
        <v>0.5241968534583672</v>
      </c>
      <c r="T48" s="189">
        <f t="shared" si="7"/>
        <v>0.5241968534583672</v>
      </c>
      <c r="U48" s="189">
        <f t="shared" si="7"/>
        <v>0.5241968534583672</v>
      </c>
      <c r="V48" s="189">
        <f t="shared" si="7"/>
        <v>0.5241968534583672</v>
      </c>
      <c r="W48" s="189">
        <f t="shared" si="7"/>
        <v>0.5241968534583672</v>
      </c>
      <c r="X48" s="189">
        <f t="shared" si="7"/>
        <v>0.5241968534583672</v>
      </c>
      <c r="Y48" s="189">
        <f t="shared" si="7"/>
        <v>0.5241968534583672</v>
      </c>
      <c r="Z48" s="189">
        <f t="shared" si="7"/>
        <v>0.5241968534583672</v>
      </c>
      <c r="AA48" s="189">
        <f t="shared" si="7"/>
        <v>0.5241968534583672</v>
      </c>
      <c r="AB48" s="189">
        <f t="shared" si="7"/>
        <v>0.5241968534583672</v>
      </c>
      <c r="AC48" s="189">
        <f t="shared" si="7"/>
        <v>0.5241968534583672</v>
      </c>
      <c r="AD48" s="189">
        <f t="shared" si="7"/>
        <v>0.5241968534583672</v>
      </c>
      <c r="AE48" s="189">
        <f t="shared" si="7"/>
        <v>0.5241968534583672</v>
      </c>
      <c r="AF48" s="189">
        <f t="shared" si="7"/>
        <v>0.5241968534583672</v>
      </c>
      <c r="AG48" s="189">
        <f t="shared" si="7"/>
        <v>0</v>
      </c>
      <c r="AH48" s="189">
        <f t="shared" si="7"/>
        <v>0</v>
      </c>
      <c r="AI48" s="189">
        <f t="shared" si="7"/>
        <v>0</v>
      </c>
      <c r="AJ48" s="189">
        <f t="shared" si="7"/>
        <v>0</v>
      </c>
      <c r="AK48" s="189">
        <f t="shared" si="7"/>
        <v>0</v>
      </c>
      <c r="AL48" s="189">
        <f t="shared" si="7"/>
        <v>0</v>
      </c>
      <c r="AM48" s="189">
        <f t="shared" si="7"/>
        <v>0</v>
      </c>
      <c r="AN48" s="189">
        <f t="shared" si="7"/>
        <v>0</v>
      </c>
      <c r="AO48" s="189">
        <f t="shared" si="7"/>
        <v>0</v>
      </c>
    </row>
    <row r="49" spans="4:41" x14ac:dyDescent="0.35">
      <c r="D49"/>
      <c r="E49" s="78"/>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row>
    <row r="50" spans="4:41" x14ac:dyDescent="0.35">
      <c r="D50"/>
      <c r="E50" s="27" t="s">
        <v>734</v>
      </c>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53"/>
      <c r="AO50" s="153"/>
    </row>
    <row r="51" spans="4:41" x14ac:dyDescent="0.35">
      <c r="D51"/>
      <c r="E51" s="27"/>
      <c r="F51" s="24" t="s">
        <v>1034</v>
      </c>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N51" s="153"/>
      <c r="AO51" s="153"/>
    </row>
    <row r="52" spans="4:41" x14ac:dyDescent="0.35">
      <c r="D52"/>
      <c r="E52" s="27"/>
      <c r="F52" s="24" t="s">
        <v>1030</v>
      </c>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3"/>
    </row>
    <row r="53" spans="4:41" x14ac:dyDescent="0.35">
      <c r="D53" s="78"/>
      <c r="F53" s="19" t="s">
        <v>156</v>
      </c>
      <c r="G53" s="19" t="s">
        <v>207</v>
      </c>
      <c r="H53" s="310">
        <v>0</v>
      </c>
      <c r="I53" s="19"/>
      <c r="J53" s="183">
        <f>INDEX('Volume adjustments'!$J$481:$Y$521, J$36 + 1 + $H53*$H$59, J$37)</f>
        <v>1195141.300122248</v>
      </c>
      <c r="K53" s="183">
        <f>INDEX('Volume adjustments'!$J$481:$Y$521, K$36 + 1 + $H53*$H$59, K$37)</f>
        <v>385.85428212338678</v>
      </c>
      <c r="L53" s="183">
        <f>INDEX('Volume adjustments'!$J$481:$Y$521, L$36 + 1 + $H53*$H$59, L$37)</f>
        <v>276.53885768870242</v>
      </c>
      <c r="M53" s="183">
        <f>INDEX('Volume adjustments'!$J$481:$Y$521, M$36 + 1 + $H53*$H$59, M$37)</f>
        <v>25777.997986388389</v>
      </c>
      <c r="N53" s="183">
        <f>INDEX('Volume adjustments'!$J$481:$Y$521, N$36 + 1 + $H53*$H$59, N$37)</f>
        <v>53308.636840343592</v>
      </c>
      <c r="O53" s="183">
        <f>INDEX('Volume adjustments'!$J$481:$Y$521, O$36 + 1 + $H53*$H$59, O$37)</f>
        <v>61372.471389463608</v>
      </c>
      <c r="P53" s="183">
        <f>INDEX('Volume adjustments'!$J$481:$Y$521, P$36 + 1 + $H53*$H$59, P$37)</f>
        <v>165874.4343911162</v>
      </c>
      <c r="Q53" s="183">
        <f>INDEX('Volume adjustments'!$J$481:$Y$521, Q$36 + 1 + $H53*$H$59, Q$37)</f>
        <v>622.21371742398651</v>
      </c>
      <c r="R53" s="183">
        <f>INDEX('Volume adjustments'!$J$481:$Y$521, R$36 + 1 + $H53*$H$59, R$37)</f>
        <v>78.59078647039631</v>
      </c>
      <c r="S53" s="183">
        <f>INDEX('Volume adjustments'!$J$481:$Y$521, S$36 + 1 + $H53*$H$59, S$37)</f>
        <v>94006.82884342692</v>
      </c>
      <c r="T53" s="183">
        <f>INDEX('Volume adjustments'!$J$481:$Y$521, T$36 + 1 + $H53*$H$59, T$37)</f>
        <v>92795.466410631896</v>
      </c>
      <c r="U53" s="183">
        <f>INDEX('Volume adjustments'!$J$481:$Y$521, U$36 + 1 + $H53*$H$59, U$37)</f>
        <v>74972.336620176618</v>
      </c>
      <c r="V53" s="183">
        <f>INDEX('Volume adjustments'!$J$481:$Y$521, V$36 + 1 + $H53*$H$59, V$37)</f>
        <v>245774.66825204468</v>
      </c>
      <c r="W53" s="183">
        <f>INDEX('Volume adjustments'!$J$481:$Y$521, W$36 + 1 + $H53*$H$59, W$37)</f>
        <v>0</v>
      </c>
      <c r="X53" s="183">
        <f>INDEX('Volume adjustments'!$J$481:$Y$521, X$36 + 1 + $H53*$H$59, X$37)</f>
        <v>944.47966344540714</v>
      </c>
      <c r="Y53" s="183">
        <f>INDEX('Volume adjustments'!$J$481:$Y$521, Y$36 + 1 + $H53*$H$59, Y$37)</f>
        <v>1324.0125009879946</v>
      </c>
      <c r="Z53" s="183">
        <f>INDEX('Volume adjustments'!$J$481:$Y$521, Z$36 + 1 + $H53*$H$59, Z$37)</f>
        <v>2048.4578320932455</v>
      </c>
      <c r="AA53" s="183">
        <f>INDEX('Volume adjustments'!$J$481:$Y$521, AA$36 + 1 + $H53*$H$59, AA$37)</f>
        <v>25707.324196698813</v>
      </c>
      <c r="AB53" s="183">
        <f>INDEX('Volume adjustments'!$J$481:$Y$521, AB$36 + 1 + $H53*$H$59, AB$37)</f>
        <v>376.43364027248634</v>
      </c>
      <c r="AC53" s="183">
        <f>INDEX('Volume adjustments'!$J$481:$Y$521, AC$36 + 1 + $H53*$H$59, AC$37)</f>
        <v>23544.121636543554</v>
      </c>
      <c r="AD53" s="183">
        <f>INDEX('Volume adjustments'!$J$481:$Y$521, AD$36 + 1 + $H53*$H$59, AD$37)</f>
        <v>87951.984354582004</v>
      </c>
      <c r="AE53" s="183">
        <f>INDEX('Volume adjustments'!$J$481:$Y$521, AE$36 + 1 + $H53*$H$59, AE$37)</f>
        <v>69094.334419594219</v>
      </c>
      <c r="AF53" s="183">
        <f>INDEX('Volume adjustments'!$J$481:$Y$521, AF$36 + 1 + $H53*$H$59, AF$37)</f>
        <v>200732.07472484378</v>
      </c>
      <c r="AG53" s="183">
        <f>INDEX('Volume adjustments'!$J$481:$Y$521, AG$36 + 1 + $H53*$H$59, AG$37)</f>
        <v>9390.0610476398779</v>
      </c>
      <c r="AH53" s="183">
        <f>INDEX('Volume adjustments'!$J$481:$Y$521, AH$36 + 1 + $H53*$H$59, AH$37)</f>
        <v>952.63299999999981</v>
      </c>
      <c r="AI53" s="183">
        <f>INDEX('Volume adjustments'!$J$481:$Y$521, AI$36 + 1 + $H53*$H$59, AI$37)</f>
        <v>34.794999999999995</v>
      </c>
      <c r="AJ53" s="183">
        <f>INDEX('Volume adjustments'!$J$481:$Y$521, AJ$36 + 1 + $H53*$H$59, AJ$37)</f>
        <v>4651.0746980075764</v>
      </c>
      <c r="AK53" s="183">
        <f>INDEX('Volume adjustments'!$J$481:$Y$521, AK$36 + 1 + $H53*$H$59, AK$37)</f>
        <v>0</v>
      </c>
      <c r="AL53" s="183">
        <f>INDEX('Volume adjustments'!$J$481:$Y$521, AL$36 + 1 + $H53*$H$59, AL$37)</f>
        <v>0</v>
      </c>
      <c r="AM53" s="183">
        <f>INDEX('Volume adjustments'!$J$481:$Y$521, AM$36 + 1 + $H53*$H$59, AM$37)</f>
        <v>0</v>
      </c>
      <c r="AN53" s="183">
        <f>INDEX('Volume adjustments'!$J$481:$Y$521, AN$36 + 1 + $H53*$H$59, AN$37)</f>
        <v>83725.653155247186</v>
      </c>
      <c r="AO53" s="183">
        <f>INDEX('Volume adjustments'!$J$481:$Y$521, AO$36 + 1 + $H53*$H$59, AO$37)</f>
        <v>0</v>
      </c>
    </row>
    <row r="54" spans="4:41" x14ac:dyDescent="0.35">
      <c r="D54" s="78"/>
      <c r="F54" t="s">
        <v>157</v>
      </c>
      <c r="G54" t="s">
        <v>207</v>
      </c>
      <c r="H54" s="355">
        <v>1</v>
      </c>
      <c r="J54" s="323">
        <f>INDEX('Volume adjustments'!$J$481:$Y$521, J$36 + 1 + $H54*$H$59, J$37)</f>
        <v>5245246.7360017952</v>
      </c>
      <c r="K54" s="323">
        <f>INDEX('Volume adjustments'!$J$481:$Y$521, K$36 + 1 + $H54*$H$59, K$37)</f>
        <v>37493.164568451517</v>
      </c>
      <c r="L54" s="323">
        <f>INDEX('Volume adjustments'!$J$481:$Y$521, L$36 + 1 + $H54*$H$59, L$37)</f>
        <v>1744.0147415635197</v>
      </c>
      <c r="M54" s="323">
        <f>INDEX('Volume adjustments'!$J$481:$Y$521, M$36 + 1 + $H54*$H$59, M$37)</f>
        <v>162952.0078481962</v>
      </c>
      <c r="N54" s="323">
        <f>INDEX('Volume adjustments'!$J$481:$Y$521, N$36 + 1 + $H54*$H$59, N$37)</f>
        <v>336995.9509752866</v>
      </c>
      <c r="O54" s="323">
        <f>INDEX('Volume adjustments'!$J$481:$Y$521, O$36 + 1 + $H54*$H$59, O$37)</f>
        <v>387972.67768051894</v>
      </c>
      <c r="P54" s="323">
        <f>INDEX('Volume adjustments'!$J$481:$Y$521, P$36 + 1 + $H54*$H$59, P$37)</f>
        <v>1048611.9103612585</v>
      </c>
      <c r="Q54" s="323">
        <f>INDEX('Volume adjustments'!$J$481:$Y$521, Q$36 + 1 + $H54*$H$59, Q$37)</f>
        <v>7925.7233535387522</v>
      </c>
      <c r="R54" s="323">
        <f>INDEX('Volume adjustments'!$J$481:$Y$521, R$36 + 1 + $H54*$H$59, R$37)</f>
        <v>452.42738864355545</v>
      </c>
      <c r="S54" s="323">
        <f>INDEX('Volume adjustments'!$J$481:$Y$521, S$36 + 1 + $H54*$H$59, S$37)</f>
        <v>540868.378209166</v>
      </c>
      <c r="T54" s="323">
        <f>INDEX('Volume adjustments'!$J$481:$Y$521, T$36 + 1 + $H54*$H$59, T$37)</f>
        <v>533828.61510084395</v>
      </c>
      <c r="U54" s="323">
        <f>INDEX('Volume adjustments'!$J$481:$Y$521, U$36 + 1 + $H54*$H$59, U$37)</f>
        <v>431352.65099897637</v>
      </c>
      <c r="V54" s="323">
        <f>INDEX('Volume adjustments'!$J$481:$Y$521, V$36 + 1 + $H54*$H$59, V$37)</f>
        <v>1413631.2857292513</v>
      </c>
      <c r="W54" s="323">
        <f>INDEX('Volume adjustments'!$J$481:$Y$521, W$36 + 1 + $H54*$H$59, W$37)</f>
        <v>0</v>
      </c>
      <c r="X54" s="323">
        <f>INDEX('Volume adjustments'!$J$481:$Y$521, X$36 + 1 + $H54*$H$59, X$37)</f>
        <v>5324.6072504751555</v>
      </c>
      <c r="Y54" s="323">
        <f>INDEX('Volume adjustments'!$J$481:$Y$521, Y$36 + 1 + $H54*$H$59, Y$37)</f>
        <v>7509.1258906979429</v>
      </c>
      <c r="Z54" s="323">
        <f>INDEX('Volume adjustments'!$J$481:$Y$521, Z$36 + 1 + $H54*$H$59, Z$37)</f>
        <v>11617.014117019871</v>
      </c>
      <c r="AA54" s="323">
        <f>INDEX('Volume adjustments'!$J$481:$Y$521, AA$36 + 1 + $H54*$H$59, AA$37)</f>
        <v>145782.59807031997</v>
      </c>
      <c r="AB54" s="323">
        <f>INDEX('Volume adjustments'!$J$481:$Y$521, AB$36 + 1 + $H54*$H$59, AB$37)</f>
        <v>2115.4787940551191</v>
      </c>
      <c r="AC54" s="323">
        <f>INDEX('Volume adjustments'!$J$481:$Y$521, AC$36 + 1 + $H54*$H$59, AC$37)</f>
        <v>132372.27906108287</v>
      </c>
      <c r="AD54" s="323">
        <f>INDEX('Volume adjustments'!$J$481:$Y$521, AD$36 + 1 + $H54*$H$59, AD$37)</f>
        <v>494384.00934918207</v>
      </c>
      <c r="AE54" s="323">
        <f>INDEX('Volume adjustments'!$J$481:$Y$521, AE$36 + 1 + $H54*$H$59, AE$37)</f>
        <v>388312.03802864812</v>
      </c>
      <c r="AF54" s="323">
        <f>INDEX('Volume adjustments'!$J$481:$Y$521, AF$36 + 1 + $H54*$H$59, AF$37)</f>
        <v>1128220.2837137391</v>
      </c>
      <c r="AG54" s="323">
        <f>INDEX('Volume adjustments'!$J$481:$Y$521, AG$36 + 1 + $H54*$H$59, AG$37)</f>
        <v>68698.296662678986</v>
      </c>
      <c r="AH54" s="323">
        <f>INDEX('Volume adjustments'!$J$481:$Y$521, AH$36 + 1 + $H54*$H$59, AH$37)</f>
        <v>8088.5750000000007</v>
      </c>
      <c r="AI54" s="323">
        <f>INDEX('Volume adjustments'!$J$481:$Y$521, AI$36 + 1 + $H54*$H$59, AI$37)</f>
        <v>170.797</v>
      </c>
      <c r="AJ54" s="323">
        <f>INDEX('Volume adjustments'!$J$481:$Y$521, AJ$36 + 1 + $H54*$H$59, AJ$37)</f>
        <v>36562.572785299533</v>
      </c>
      <c r="AK54" s="323">
        <f>INDEX('Volume adjustments'!$J$481:$Y$521, AK$36 + 1 + $H54*$H$59, AK$37)</f>
        <v>0</v>
      </c>
      <c r="AL54" s="323">
        <f>INDEX('Volume adjustments'!$J$481:$Y$521, AL$36 + 1 + $H54*$H$59, AL$37)</f>
        <v>0</v>
      </c>
      <c r="AM54" s="323">
        <f>INDEX('Volume adjustments'!$J$481:$Y$521, AM$36 + 1 + $H54*$H$59, AM$37)</f>
        <v>0</v>
      </c>
      <c r="AN54" s="323">
        <f>INDEX('Volume adjustments'!$J$481:$Y$521, AN$36 + 1 + $H54*$H$59, AN$37)</f>
        <v>532059.97125989269</v>
      </c>
      <c r="AO54" s="323">
        <f>INDEX('Volume adjustments'!$J$481:$Y$521, AO$36 + 1 + $H54*$H$59, AO$37)</f>
        <v>0</v>
      </c>
    </row>
    <row r="55" spans="4:41" x14ac:dyDescent="0.35">
      <c r="D55" s="78"/>
      <c r="F55" t="s">
        <v>158</v>
      </c>
      <c r="G55" t="s">
        <v>207</v>
      </c>
      <c r="H55" s="355">
        <v>2</v>
      </c>
      <c r="J55" s="323">
        <f>INDEX('Volume adjustments'!$J$481:$Y$521, J$36 + 1 + $H55*$H$59, J$37)</f>
        <v>2888603.6716125715</v>
      </c>
      <c r="K55" s="323">
        <f>INDEX('Volume adjustments'!$J$481:$Y$521, K$36 + 1 + $H55*$H$59, K$37)</f>
        <v>91372.316099402669</v>
      </c>
      <c r="L55" s="323">
        <f>INDEX('Volume adjustments'!$J$481:$Y$521, L$36 + 1 + $H55*$H$59, L$37)</f>
        <v>782.67929879096073</v>
      </c>
      <c r="M55" s="323">
        <f>INDEX('Volume adjustments'!$J$481:$Y$521, M$36 + 1 + $H55*$H$59, M$37)</f>
        <v>77561.152830440682</v>
      </c>
      <c r="N55" s="323">
        <f>INDEX('Volume adjustments'!$J$481:$Y$521, N$36 + 1 + $H55*$H$59, N$37)</f>
        <v>160418.41667158221</v>
      </c>
      <c r="O55" s="323">
        <f>INDEX('Volume adjustments'!$J$481:$Y$521, O$36 + 1 + $H55*$H$59, O$37)</f>
        <v>184707.106305794</v>
      </c>
      <c r="P55" s="323">
        <f>INDEX('Volume adjustments'!$J$481:$Y$521, P$36 + 1 + $H55*$H$59, P$37)</f>
        <v>499360.9647768882</v>
      </c>
      <c r="Q55" s="323">
        <f>INDEX('Volume adjustments'!$J$481:$Y$521, Q$36 + 1 + $H55*$H$59, Q$37)</f>
        <v>25560.92942792672</v>
      </c>
      <c r="R55" s="323">
        <f>INDEX('Volume adjustments'!$J$481:$Y$521, R$36 + 1 + $H55*$H$59, R$37)</f>
        <v>248.8001625162569</v>
      </c>
      <c r="S55" s="323">
        <f>INDEX('Volume adjustments'!$J$481:$Y$521, S$36 + 1 + $H55*$H$59, S$37)</f>
        <v>297513.65854857687</v>
      </c>
      <c r="T55" s="323">
        <f>INDEX('Volume adjustments'!$J$481:$Y$521, T$36 + 1 + $H55*$H$59, T$37)</f>
        <v>293680.01528195338</v>
      </c>
      <c r="U55" s="323">
        <f>INDEX('Volume adjustments'!$J$481:$Y$521, U$36 + 1 + $H55*$H$59, U$37)</f>
        <v>237326.06213858156</v>
      </c>
      <c r="V55" s="323">
        <f>INDEX('Volume adjustments'!$J$481:$Y$521, V$36 + 1 + $H55*$H$59, V$37)</f>
        <v>777679.28284509585</v>
      </c>
      <c r="W55" s="323">
        <f>INDEX('Volume adjustments'!$J$481:$Y$521, W$36 + 1 + $H55*$H$59, W$37)</f>
        <v>0</v>
      </c>
      <c r="X55" s="323">
        <f>INDEX('Volume adjustments'!$J$481:$Y$521, X$36 + 1 + $H55*$H$59, X$37)</f>
        <v>2838.7476627806673</v>
      </c>
      <c r="Y55" s="323">
        <f>INDEX('Volume adjustments'!$J$481:$Y$521, Y$36 + 1 + $H55*$H$59, Y$37)</f>
        <v>4990.7213542975524</v>
      </c>
      <c r="Z55" s="323">
        <f>INDEX('Volume adjustments'!$J$481:$Y$521, Z$36 + 1 + $H55*$H$59, Z$37)</f>
        <v>7703.4635376858459</v>
      </c>
      <c r="AA55" s="323">
        <f>INDEX('Volume adjustments'!$J$481:$Y$521, AA$36 + 1 + $H55*$H$59, AA$37)</f>
        <v>96534.046638136657</v>
      </c>
      <c r="AB55" s="323">
        <f>INDEX('Volume adjustments'!$J$481:$Y$521, AB$36 + 1 + $H55*$H$59, AB$37)</f>
        <v>1458.3912124412109</v>
      </c>
      <c r="AC55" s="323">
        <f>INDEX('Volume adjustments'!$J$481:$Y$521, AC$36 + 1 + $H55*$H$59, AC$37)</f>
        <v>91206.765500012407</v>
      </c>
      <c r="AD55" s="323">
        <f>INDEX('Volume adjustments'!$J$481:$Y$521, AD$36 + 1 + $H55*$H$59, AD$37)</f>
        <v>340730.05377060751</v>
      </c>
      <c r="AE55" s="323">
        <f>INDEX('Volume adjustments'!$J$481:$Y$521, AE$36 + 1 + $H55*$H$59, AE$37)</f>
        <v>267685.10842114908</v>
      </c>
      <c r="AF55" s="323">
        <f>INDEX('Volume adjustments'!$J$481:$Y$521, AF$36 + 1 + $H55*$H$59, AF$37)</f>
        <v>777661.09046121885</v>
      </c>
      <c r="AG55" s="323">
        <f>INDEX('Volume adjustments'!$J$481:$Y$521, AG$36 + 1 + $H55*$H$59, AG$37)</f>
        <v>107386.00037173675</v>
      </c>
      <c r="AH55" s="323">
        <f>INDEX('Volume adjustments'!$J$481:$Y$521, AH$36 + 1 + $H55*$H$59, AH$37)</f>
        <v>812.69199999999978</v>
      </c>
      <c r="AI55" s="323">
        <f>INDEX('Volume adjustments'!$J$481:$Y$521, AI$36 + 1 + $H55*$H$59, AI$37)</f>
        <v>24.104999999999997</v>
      </c>
      <c r="AJ55" s="323">
        <f>INDEX('Volume adjustments'!$J$481:$Y$521, AJ$36 + 1 + $H55*$H$59, AJ$37)</f>
        <v>11217.299058567434</v>
      </c>
      <c r="AK55" s="323">
        <f>INDEX('Volume adjustments'!$J$481:$Y$521, AK$36 + 1 + $H55*$H$59, AK$37)</f>
        <v>0</v>
      </c>
      <c r="AL55" s="323">
        <f>INDEX('Volume adjustments'!$J$481:$Y$521, AL$36 + 1 + $H55*$H$59, AL$37)</f>
        <v>0</v>
      </c>
      <c r="AM55" s="323">
        <f>INDEX('Volume adjustments'!$J$481:$Y$521, AM$36 + 1 + $H55*$H$59, AM$37)</f>
        <v>0</v>
      </c>
      <c r="AN55" s="323">
        <f>INDEX('Volume adjustments'!$J$481:$Y$521, AN$36 + 1 + $H55*$H$59, AN$37)</f>
        <v>252499.59274264879</v>
      </c>
      <c r="AO55" s="323">
        <f>INDEX('Volume adjustments'!$J$481:$Y$521, AO$36 + 1 + $H55*$H$59, AO$37)</f>
        <v>0</v>
      </c>
    </row>
    <row r="56" spans="4:41" x14ac:dyDescent="0.35">
      <c r="D56" s="78"/>
      <c r="F56" t="s">
        <v>212</v>
      </c>
      <c r="G56" t="s">
        <v>212</v>
      </c>
      <c r="H56" s="355">
        <v>3</v>
      </c>
      <c r="J56" s="323">
        <f>INDEX('Volume adjustments'!$J$481:$Y$521, J$36 + 1 + $H56*$H$59, J$37)</f>
        <v>2963525.8662584159</v>
      </c>
      <c r="K56" s="323">
        <f>INDEX('Volume adjustments'!$J$481:$Y$521, K$36 + 1 + $H56*$H$59, K$37)</f>
        <v>30472.026964790908</v>
      </c>
      <c r="L56" s="323">
        <f>INDEX('Volume adjustments'!$J$481:$Y$521, L$36 + 1 + $H56*$H$59, L$37)</f>
        <v>9.6884478937311105</v>
      </c>
      <c r="M56" s="323">
        <f>INDEX('Volume adjustments'!$J$481:$Y$521, M$36 + 1 + $H56*$H$59, M$37)</f>
        <v>90865.523119522884</v>
      </c>
      <c r="N56" s="323">
        <f>INDEX('Volume adjustments'!$J$481:$Y$521, N$36 + 1 + $H56*$H$59, N$37)</f>
        <v>68645.571071950631</v>
      </c>
      <c r="O56" s="323">
        <f>INDEX('Volume adjustments'!$J$481:$Y$521, O$36 + 1 + $H56*$H$59, O$37)</f>
        <v>35687.206127422673</v>
      </c>
      <c r="P56" s="323">
        <f>INDEX('Volume adjustments'!$J$481:$Y$521, P$36 + 1 + $H56*$H$59, P$37)</f>
        <v>34298.531030187536</v>
      </c>
      <c r="Q56" s="323">
        <f>INDEX('Volume adjustments'!$J$481:$Y$521, Q$36 + 1 + $H56*$H$59, Q$37)</f>
        <v>4516.8450273566268</v>
      </c>
      <c r="R56" s="323">
        <f>INDEX('Volume adjustments'!$J$481:$Y$521, R$36 + 1 + $H56*$H$59, R$37)</f>
        <v>12.122280437371904</v>
      </c>
      <c r="S56" s="323">
        <f>INDEX('Volume adjustments'!$J$481:$Y$521, S$36 + 1 + $H56*$H$59, S$37)</f>
        <v>10394.009490196551</v>
      </c>
      <c r="T56" s="323">
        <f>INDEX('Volume adjustments'!$J$481:$Y$521, T$36 + 1 + $H56*$H$59, T$37)</f>
        <v>6115.2119452849101</v>
      </c>
      <c r="U56" s="323">
        <f>INDEX('Volume adjustments'!$J$481:$Y$521, U$36 + 1 + $H56*$H$59, U$37)</f>
        <v>2929.0665415420949</v>
      </c>
      <c r="V56" s="323">
        <f>INDEX('Volume adjustments'!$J$481:$Y$521, V$36 + 1 + $H56*$H$59, V$37)</f>
        <v>3944.2612247361913</v>
      </c>
      <c r="W56" s="323">
        <f>INDEX('Volume adjustments'!$J$481:$Y$521, W$36 + 1 + $H56*$H$59, W$37)</f>
        <v>0</v>
      </c>
      <c r="X56" s="323">
        <f>INDEX('Volume adjustments'!$J$481:$Y$521, X$36 + 1 + $H56*$H$59, X$37)</f>
        <v>23.34697201955592</v>
      </c>
      <c r="Y56" s="323">
        <f>INDEX('Volume adjustments'!$J$481:$Y$521, Y$36 + 1 + $H56*$H$59, Y$37)</f>
        <v>45.082169622189987</v>
      </c>
      <c r="Z56" s="323">
        <f>INDEX('Volume adjustments'!$J$481:$Y$521, Z$36 + 1 + $H56*$H$59, Z$37)</f>
        <v>55.40779918915063</v>
      </c>
      <c r="AA56" s="323">
        <f>INDEX('Volume adjustments'!$J$481:$Y$521, AA$36 + 1 + $H56*$H$59, AA$37)</f>
        <v>224.73721006017257</v>
      </c>
      <c r="AB56" s="323">
        <f>INDEX('Volume adjustments'!$J$481:$Y$521, AB$36 + 1 + $H56*$H$59, AB$37)</f>
        <v>79.23866687372356</v>
      </c>
      <c r="AC56" s="323">
        <f>INDEX('Volume adjustments'!$J$481:$Y$521, AC$36 + 1 + $H56*$H$59, AC$37)</f>
        <v>483.92215384591685</v>
      </c>
      <c r="AD56" s="323">
        <f>INDEX('Volume adjustments'!$J$481:$Y$521, AD$36 + 1 + $H56*$H$59, AD$37)</f>
        <v>697.58818327134566</v>
      </c>
      <c r="AE56" s="323">
        <f>INDEX('Volume adjustments'!$J$481:$Y$521, AE$36 + 1 + $H56*$H$59, AE$37)</f>
        <v>279.74459135180666</v>
      </c>
      <c r="AF56" s="323">
        <f>INDEX('Volume adjustments'!$J$481:$Y$521, AF$36 + 1 + $H56*$H$59, AF$37)</f>
        <v>315.87508664769206</v>
      </c>
      <c r="AG56" s="323">
        <f>INDEX('Volume adjustments'!$J$481:$Y$521, AG$36 + 1 + $H56*$H$59, AG$37)</f>
        <v>4144.2452439404015</v>
      </c>
      <c r="AH56" s="323">
        <f>INDEX('Volume adjustments'!$J$481:$Y$521, AH$36 + 1 + $H56*$H$59, AH$37)</f>
        <v>8349.9354838709678</v>
      </c>
      <c r="AI56" s="323">
        <f>INDEX('Volume adjustments'!$J$481:$Y$521, AI$36 + 1 + $H56*$H$59, AI$37)</f>
        <v>39</v>
      </c>
      <c r="AJ56" s="323">
        <f>INDEX('Volume adjustments'!$J$481:$Y$521, AJ$36 + 1 + $H56*$H$59, AJ$37)</f>
        <v>838.90322580645136</v>
      </c>
      <c r="AK56" s="323">
        <f>INDEX('Volume adjustments'!$J$481:$Y$521, AK$36 + 1 + $H56*$H$59, AK$37)</f>
        <v>0</v>
      </c>
      <c r="AL56" s="323">
        <f>INDEX('Volume adjustments'!$J$481:$Y$521, AL$36 + 1 + $H56*$H$59, AL$37)</f>
        <v>1</v>
      </c>
      <c r="AM56" s="323">
        <f>INDEX('Volume adjustments'!$J$481:$Y$521, AM$36 + 1 + $H56*$H$59, AM$37)</f>
        <v>0</v>
      </c>
      <c r="AN56" s="323">
        <f>INDEX('Volume adjustments'!$J$481:$Y$521, AN$36 + 1 + $H56*$H$59, AN$37)</f>
        <v>234.29032258064521</v>
      </c>
      <c r="AO56" s="323">
        <f>INDEX('Volume adjustments'!$J$481:$Y$521, AO$36 + 1 + $H56*$H$59, AO$37)</f>
        <v>0</v>
      </c>
    </row>
    <row r="57" spans="4:41" x14ac:dyDescent="0.35">
      <c r="D57" s="78"/>
      <c r="F57" t="s">
        <v>735</v>
      </c>
      <c r="G57" t="s">
        <v>251</v>
      </c>
      <c r="H57" s="355">
        <v>4</v>
      </c>
      <c r="J57" s="323">
        <f>INDEX('Volume adjustments'!$J$481:$Y$521, J$36 + 1 + $H57*$H$59, J$37)</f>
        <v>0</v>
      </c>
      <c r="K57" s="323">
        <f>INDEX('Volume adjustments'!$J$481:$Y$521, K$36 + 1 + $H57*$H$59, K$37)</f>
        <v>0</v>
      </c>
      <c r="L57" s="323">
        <f>INDEX('Volume adjustments'!$J$481:$Y$521, L$36 + 1 + $H57*$H$59, L$37)</f>
        <v>0</v>
      </c>
      <c r="M57" s="323">
        <f>INDEX('Volume adjustments'!$J$481:$Y$521, M$36 + 1 + $H57*$H$59, M$37)</f>
        <v>0</v>
      </c>
      <c r="N57" s="323">
        <f>INDEX('Volume adjustments'!$J$481:$Y$521, N$36 + 1 + $H57*$H$59, N$37)</f>
        <v>0</v>
      </c>
      <c r="O57" s="323">
        <f>INDEX('Volume adjustments'!$J$481:$Y$521, O$36 + 1 + $H57*$H$59, O$37)</f>
        <v>0</v>
      </c>
      <c r="P57" s="323">
        <f>INDEX('Volume adjustments'!$J$481:$Y$521, P$36 + 1 + $H57*$H$59, P$37)</f>
        <v>0</v>
      </c>
      <c r="Q57" s="323">
        <f>INDEX('Volume adjustments'!$J$481:$Y$521, Q$36 + 1 + $H57*$H$59, Q$37)</f>
        <v>0</v>
      </c>
      <c r="R57" s="323">
        <f>INDEX('Volume adjustments'!$J$481:$Y$521, R$36 + 1 + $H57*$H$59, R$37)</f>
        <v>541.06652698643586</v>
      </c>
      <c r="S57" s="323">
        <f>INDEX('Volume adjustments'!$J$481:$Y$521, S$36 + 1 + $H57*$H$59, S$37)</f>
        <v>653945.85403257504</v>
      </c>
      <c r="T57" s="323">
        <f>INDEX('Volume adjustments'!$J$481:$Y$521, T$36 + 1 + $H57*$H$59, T$37)</f>
        <v>649500.8085869744</v>
      </c>
      <c r="U57" s="323">
        <f>INDEX('Volume adjustments'!$J$481:$Y$521, U$36 + 1 + $H57*$H$59, U$37)</f>
        <v>527762.58539924154</v>
      </c>
      <c r="V57" s="323">
        <f>INDEX('Volume adjustments'!$J$481:$Y$521, V$36 + 1 + $H57*$H$59, V$37)</f>
        <v>1716631.5862012368</v>
      </c>
      <c r="W57" s="323">
        <f>INDEX('Volume adjustments'!$J$481:$Y$521, W$36 + 1 + $H57*$H$59, W$37)</f>
        <v>0</v>
      </c>
      <c r="X57" s="323">
        <f>INDEX('Volume adjustments'!$J$481:$Y$521, X$36 + 1 + $H57*$H$59, X$37)</f>
        <v>560.28487014752056</v>
      </c>
      <c r="Y57" s="323">
        <f>INDEX('Volume adjustments'!$J$481:$Y$521, Y$36 + 1 + $H57*$H$59, Y$37)</f>
        <v>7307.7628560145658</v>
      </c>
      <c r="Z57" s="323">
        <f>INDEX('Volume adjustments'!$J$481:$Y$521, Z$36 + 1 + $H57*$H$59, Z$37)</f>
        <v>11190.330027990804</v>
      </c>
      <c r="AA57" s="323">
        <f>INDEX('Volume adjustments'!$J$481:$Y$521, AA$36 + 1 + $H57*$H$59, AA$37)</f>
        <v>139522.59338116698</v>
      </c>
      <c r="AB57" s="323">
        <f>INDEX('Volume adjustments'!$J$481:$Y$521, AB$36 + 1 + $H57*$H$59, AB$37)</f>
        <v>1959.8947395060832</v>
      </c>
      <c r="AC57" s="323">
        <f>INDEX('Volume adjustments'!$J$481:$Y$521, AC$36 + 1 + $H57*$H$59, AC$37)</f>
        <v>120679.83468783284</v>
      </c>
      <c r="AD57" s="323">
        <f>INDEX('Volume adjustments'!$J$481:$Y$521, AD$36 + 1 + $H57*$H$59, AD$37)</f>
        <v>454317.65299815667</v>
      </c>
      <c r="AE57" s="323">
        <f>INDEX('Volume adjustments'!$J$481:$Y$521, AE$36 + 1 + $H57*$H$59, AE$37)</f>
        <v>359216.51168519043</v>
      </c>
      <c r="AF57" s="323">
        <f>INDEX('Volume adjustments'!$J$481:$Y$521, AF$36 + 1 + $H57*$H$59, AF$37)</f>
        <v>1040360.9402770289</v>
      </c>
      <c r="AG57" s="323">
        <f>INDEX('Volume adjustments'!$J$481:$Y$521, AG$36 + 1 + $H57*$H$59, AG$37)</f>
        <v>0</v>
      </c>
      <c r="AH57" s="323">
        <f>INDEX('Volume adjustments'!$J$481:$Y$521, AH$36 + 1 + $H57*$H$59, AH$37)</f>
        <v>0</v>
      </c>
      <c r="AI57" s="323">
        <f>INDEX('Volume adjustments'!$J$481:$Y$521, AI$36 + 1 + $H57*$H$59, AI$37)</f>
        <v>0</v>
      </c>
      <c r="AJ57" s="323">
        <f>INDEX('Volume adjustments'!$J$481:$Y$521, AJ$36 + 1 + $H57*$H$59, AJ$37)</f>
        <v>0</v>
      </c>
      <c r="AK57" s="323">
        <f>INDEX('Volume adjustments'!$J$481:$Y$521, AK$36 + 1 + $H57*$H$59, AK$37)</f>
        <v>0</v>
      </c>
      <c r="AL57" s="323">
        <f>INDEX('Volume adjustments'!$J$481:$Y$521, AL$36 + 1 + $H57*$H$59, AL$37)</f>
        <v>0</v>
      </c>
      <c r="AM57" s="323">
        <f>INDEX('Volume adjustments'!$J$481:$Y$521, AM$36 + 1 + $H57*$H$59, AM$37)</f>
        <v>0</v>
      </c>
      <c r="AN57" s="323">
        <f>INDEX('Volume adjustments'!$J$481:$Y$521, AN$36 + 1 + $H57*$H$59, AN$37)</f>
        <v>0</v>
      </c>
      <c r="AO57" s="323">
        <f>INDEX('Volume adjustments'!$J$481:$Y$521, AO$36 + 1 + $H57*$H$59, AO$37)</f>
        <v>0</v>
      </c>
    </row>
    <row r="58" spans="4:41" x14ac:dyDescent="0.35">
      <c r="D58" s="78"/>
      <c r="F58" t="s">
        <v>252</v>
      </c>
      <c r="G58" t="s">
        <v>251</v>
      </c>
      <c r="H58" s="355">
        <v>5</v>
      </c>
      <c r="J58" s="323">
        <f>INDEX('Volume adjustments'!$J$481:$Y$521, J$36 + 1 + $H58*$H$59, J$37)</f>
        <v>0</v>
      </c>
      <c r="K58" s="323">
        <f>INDEX('Volume adjustments'!$J$481:$Y$521, K$36 + 1 + $H58*$H$59, K$37)</f>
        <v>0</v>
      </c>
      <c r="L58" s="323">
        <f>INDEX('Volume adjustments'!$J$481:$Y$521, L$36 + 1 + $H58*$H$59, L$37)</f>
        <v>0</v>
      </c>
      <c r="M58" s="323">
        <f>INDEX('Volume adjustments'!$J$481:$Y$521, M$36 + 1 + $H58*$H$59, M$37)</f>
        <v>0</v>
      </c>
      <c r="N58" s="323">
        <f>INDEX('Volume adjustments'!$J$481:$Y$521, N$36 + 1 + $H58*$H$59, N$37)</f>
        <v>0</v>
      </c>
      <c r="O58" s="323">
        <f>INDEX('Volume adjustments'!$J$481:$Y$521, O$36 + 1 + $H58*$H$59, O$37)</f>
        <v>0</v>
      </c>
      <c r="P58" s="323">
        <f>INDEX('Volume adjustments'!$J$481:$Y$521, P$36 + 1 + $H58*$H$59, P$37)</f>
        <v>0</v>
      </c>
      <c r="Q58" s="323">
        <f>INDEX('Volume adjustments'!$J$481:$Y$521, Q$36 + 1 + $H58*$H$59, Q$37)</f>
        <v>0</v>
      </c>
      <c r="R58" s="323">
        <f>INDEX('Volume adjustments'!$J$481:$Y$521, R$36 + 1 + $H58*$H$59, R$37)</f>
        <v>8.8396001529576367</v>
      </c>
      <c r="S58" s="323">
        <f>INDEX('Volume adjustments'!$J$481:$Y$521, S$36 + 1 + $H58*$H$59, S$37)</f>
        <v>10484.763198651995</v>
      </c>
      <c r="T58" s="323">
        <f>INDEX('Volume adjustments'!$J$481:$Y$521, T$36 + 1 + $H58*$H$59, T$37)</f>
        <v>10314.664533235764</v>
      </c>
      <c r="U58" s="323">
        <f>INDEX('Volume adjustments'!$J$481:$Y$521, U$36 + 1 + $H58*$H$59, U$37)</f>
        <v>8324.327375576584</v>
      </c>
      <c r="V58" s="323">
        <f>INDEX('Volume adjustments'!$J$481:$Y$521, V$36 + 1 + $H58*$H$59, V$37)</f>
        <v>27301.537913197037</v>
      </c>
      <c r="W58" s="323">
        <f>INDEX('Volume adjustments'!$J$481:$Y$521, W$36 + 1 + $H58*$H$59, W$37)</f>
        <v>0</v>
      </c>
      <c r="X58" s="323">
        <f>INDEX('Volume adjustments'!$J$481:$Y$521, X$36 + 1 + $H58*$H$59, X$37)</f>
        <v>2.4188773321338299</v>
      </c>
      <c r="Y58" s="323">
        <f>INDEX('Volume adjustments'!$J$481:$Y$521, Y$36 + 1 + $H58*$H$59, Y$37)</f>
        <v>31.549275846711769</v>
      </c>
      <c r="Z58" s="323">
        <f>INDEX('Volume adjustments'!$J$481:$Y$521, Z$36 + 1 + $H58*$H$59, Z$37)</f>
        <v>48.311202186624435</v>
      </c>
      <c r="AA58" s="323">
        <f>INDEX('Volume adjustments'!$J$481:$Y$521, AA$36 + 1 + $H58*$H$59, AA$37)</f>
        <v>602.3507976600747</v>
      </c>
      <c r="AB58" s="323">
        <f>INDEX('Volume adjustments'!$J$481:$Y$521, AB$36 + 1 + $H58*$H$59, AB$37)</f>
        <v>40.422569491496176</v>
      </c>
      <c r="AC58" s="323">
        <f>INDEX('Volume adjustments'!$J$481:$Y$521, AC$36 + 1 + $H58*$H$59, AC$37)</f>
        <v>2489.0056111485642</v>
      </c>
      <c r="AD58" s="323">
        <f>INDEX('Volume adjustments'!$J$481:$Y$521, AD$36 + 1 + $H58*$H$59, AD$37)</f>
        <v>9370.2414366189678</v>
      </c>
      <c r="AE58" s="323">
        <f>INDEX('Volume adjustments'!$J$481:$Y$521, AE$36 + 1 + $H58*$H$59, AE$37)</f>
        <v>7408.7929894371728</v>
      </c>
      <c r="AF58" s="323">
        <f>INDEX('Volume adjustments'!$J$481:$Y$521, AF$36 + 1 + $H58*$H$59, AF$37)</f>
        <v>21457.306638408878</v>
      </c>
      <c r="AG58" s="323">
        <f>INDEX('Volume adjustments'!$J$481:$Y$521, AG$36 + 1 + $H58*$H$59, AG$37)</f>
        <v>0</v>
      </c>
      <c r="AH58" s="323">
        <f>INDEX('Volume adjustments'!$J$481:$Y$521, AH$36 + 1 + $H58*$H$59, AH$37)</f>
        <v>0</v>
      </c>
      <c r="AI58" s="323">
        <f>INDEX('Volume adjustments'!$J$481:$Y$521, AI$36 + 1 + $H58*$H$59, AI$37)</f>
        <v>0</v>
      </c>
      <c r="AJ58" s="323">
        <f>INDEX('Volume adjustments'!$J$481:$Y$521, AJ$36 + 1 + $H58*$H$59, AJ$37)</f>
        <v>0</v>
      </c>
      <c r="AK58" s="323">
        <f>INDEX('Volume adjustments'!$J$481:$Y$521, AK$36 + 1 + $H58*$H$59, AK$37)</f>
        <v>0</v>
      </c>
      <c r="AL58" s="323">
        <f>INDEX('Volume adjustments'!$J$481:$Y$521, AL$36 + 1 + $H58*$H$59, AL$37)</f>
        <v>0</v>
      </c>
      <c r="AM58" s="323">
        <f>INDEX('Volume adjustments'!$J$481:$Y$521, AM$36 + 1 + $H58*$H$59, AM$37)</f>
        <v>0</v>
      </c>
      <c r="AN58" s="323">
        <f>INDEX('Volume adjustments'!$J$481:$Y$521, AN$36 + 1 + $H58*$H$59, AN$37)</f>
        <v>0</v>
      </c>
      <c r="AO58" s="323">
        <f>INDEX('Volume adjustments'!$J$481:$Y$521, AO$36 + 1 + $H58*$H$59, AO$37)</f>
        <v>0</v>
      </c>
    </row>
    <row r="59" spans="4:41" x14ac:dyDescent="0.35">
      <c r="D59" s="78"/>
      <c r="F59" s="28" t="s">
        <v>215</v>
      </c>
      <c r="G59" s="57" t="s">
        <v>254</v>
      </c>
      <c r="H59" s="311">
        <v>6</v>
      </c>
      <c r="I59" s="28"/>
      <c r="J59" s="185">
        <f>INDEX('Volume adjustments'!$J$481:$Y$521, J$36 + 1 + $H59*$H$59, J$37)</f>
        <v>0</v>
      </c>
      <c r="K59" s="185">
        <f>INDEX('Volume adjustments'!$J$481:$Y$521, K$36 + 1 + $H59*$H$59, K$37)</f>
        <v>0</v>
      </c>
      <c r="L59" s="185">
        <f>INDEX('Volume adjustments'!$J$481:$Y$521, L$36 + 1 + $H59*$H$59, L$37)</f>
        <v>0</v>
      </c>
      <c r="M59" s="185">
        <f>INDEX('Volume adjustments'!$J$481:$Y$521, M$36 + 1 + $H59*$H$59, M$37)</f>
        <v>0</v>
      </c>
      <c r="N59" s="185">
        <f>INDEX('Volume adjustments'!$J$481:$Y$521, N$36 + 1 + $H59*$H$59, N$37)</f>
        <v>0</v>
      </c>
      <c r="O59" s="185">
        <f>INDEX('Volume adjustments'!$J$481:$Y$521, O$36 + 1 + $H59*$H$59, O$37)</f>
        <v>0</v>
      </c>
      <c r="P59" s="185">
        <f>INDEX('Volume adjustments'!$J$481:$Y$521, P$36 + 1 + $H59*$H$59, P$37)</f>
        <v>0</v>
      </c>
      <c r="Q59" s="185">
        <f>INDEX('Volume adjustments'!$J$481:$Y$521, Q$36 + 1 + $H59*$H$59, Q$37)</f>
        <v>0</v>
      </c>
      <c r="R59" s="185">
        <f>INDEX('Volume adjustments'!$J$481:$Y$521, R$36 + 1 + $H59*$H$59, R$37)</f>
        <v>58.995876213502676</v>
      </c>
      <c r="S59" s="185">
        <f>INDEX('Volume adjustments'!$J$481:$Y$521, S$36 + 1 + $H59*$H$59, S$37)</f>
        <v>70898.466015145197</v>
      </c>
      <c r="T59" s="185">
        <f>INDEX('Volume adjustments'!$J$481:$Y$521, T$36 + 1 + $H59*$H$59, T$37)</f>
        <v>70207.247459441991</v>
      </c>
      <c r="U59" s="185">
        <f>INDEX('Volume adjustments'!$J$481:$Y$521, U$36 + 1 + $H59*$H$59, U$37)</f>
        <v>56917.994104846592</v>
      </c>
      <c r="V59" s="185">
        <f>INDEX('Volume adjustments'!$J$481:$Y$521, V$36 + 1 + $H59*$H$59, V$37)</f>
        <v>185668.83195700258</v>
      </c>
      <c r="W59" s="185">
        <f>INDEX('Volume adjustments'!$J$481:$Y$521, W$36 + 1 + $H59*$H$59, W$37)</f>
        <v>0</v>
      </c>
      <c r="X59" s="185">
        <f>INDEX('Volume adjustments'!$J$481:$Y$521, X$36 + 1 + $H59*$H$59, X$37)</f>
        <v>1243.5355674526093</v>
      </c>
      <c r="Y59" s="185">
        <f>INDEX('Volume adjustments'!$J$481:$Y$521, Y$36 + 1 + $H59*$H$59, Y$37)</f>
        <v>1056.0091419888774</v>
      </c>
      <c r="Z59" s="185">
        <f>INDEX('Volume adjustments'!$J$481:$Y$521, Z$36 + 1 + $H59*$H$59, Z$37)</f>
        <v>1646.0302742494805</v>
      </c>
      <c r="AA59" s="185">
        <f>INDEX('Volume adjustments'!$J$481:$Y$521, AA$36 + 1 + $H59*$H$59, AA$37)</f>
        <v>20753.067337768178</v>
      </c>
      <c r="AB59" s="185">
        <f>INDEX('Volume adjustments'!$J$481:$Y$521, AB$36 + 1 + $H59*$H$59, AB$37)</f>
        <v>274.59031949823634</v>
      </c>
      <c r="AC59" s="185">
        <f>INDEX('Volume adjustments'!$J$481:$Y$521, AC$36 + 1 + $H59*$H$59, AC$37)</f>
        <v>16980.602269003644</v>
      </c>
      <c r="AD59" s="185">
        <f>INDEX('Volume adjustments'!$J$481:$Y$521, AD$36 + 1 + $H59*$H$59, AD$37)</f>
        <v>63789.884805880785</v>
      </c>
      <c r="AE59" s="185">
        <f>INDEX('Volume adjustments'!$J$481:$Y$521, AE$36 + 1 + $H59*$H$59, AE$37)</f>
        <v>50347.866960295098</v>
      </c>
      <c r="AF59" s="185">
        <f>INDEX('Volume adjustments'!$J$481:$Y$521, AF$36 + 1 + $H59*$H$59, AF$37)</f>
        <v>145941.04841917119</v>
      </c>
      <c r="AG59" s="185">
        <f>INDEX('Volume adjustments'!$J$481:$Y$521, AG$36 + 1 + $H59*$H$59, AG$37)</f>
        <v>0</v>
      </c>
      <c r="AH59" s="185">
        <f>INDEX('Volume adjustments'!$J$481:$Y$521, AH$36 + 1 + $H59*$H$59, AH$37)</f>
        <v>0</v>
      </c>
      <c r="AI59" s="185">
        <f>INDEX('Volume adjustments'!$J$481:$Y$521, AI$36 + 1 + $H59*$H$59, AI$37)</f>
        <v>0</v>
      </c>
      <c r="AJ59" s="185">
        <f>INDEX('Volume adjustments'!$J$481:$Y$521, AJ$36 + 1 + $H59*$H$59, AJ$37)</f>
        <v>6750.4085650779352</v>
      </c>
      <c r="AK59" s="185">
        <f>INDEX('Volume adjustments'!$J$481:$Y$521, AK$36 + 1 + $H59*$H$59, AK$37)</f>
        <v>0</v>
      </c>
      <c r="AL59" s="185">
        <f>INDEX('Volume adjustments'!$J$481:$Y$521, AL$36 + 1 + $H59*$H$59, AL$37)</f>
        <v>0</v>
      </c>
      <c r="AM59" s="185">
        <f>INDEX('Volume adjustments'!$J$481:$Y$521, AM$36 + 1 + $H59*$H$59, AM$37)</f>
        <v>0</v>
      </c>
      <c r="AN59" s="185">
        <f>INDEX('Volume adjustments'!$J$481:$Y$521, AN$36 + 1 + $H59*$H$59, AN$37)</f>
        <v>37191.039110646561</v>
      </c>
      <c r="AO59" s="185">
        <f>INDEX('Volume adjustments'!$J$481:$Y$521, AO$36 + 1 + $H59*$H$59, AO$37)</f>
        <v>0</v>
      </c>
    </row>
    <row r="60" spans="4:41" x14ac:dyDescent="0.35">
      <c r="D60" s="78"/>
      <c r="F60" s="2"/>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row>
    <row r="61" spans="4:41" x14ac:dyDescent="0.35">
      <c r="D61" s="78"/>
      <c r="E61" t="s">
        <v>736</v>
      </c>
      <c r="G61" t="s">
        <v>277</v>
      </c>
      <c r="H61" s="110">
        <f>'General inputs'!$H$88</f>
        <v>989850258.58372772</v>
      </c>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row>
    <row r="62" spans="4:41" x14ac:dyDescent="0.35">
      <c r="D62" s="78"/>
      <c r="E62"/>
      <c r="H62" s="110"/>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row>
    <row r="63" spans="4:41" x14ac:dyDescent="0.35">
      <c r="D63" s="78"/>
      <c r="E63" s="27" t="s">
        <v>873</v>
      </c>
      <c r="H63" s="110"/>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row>
    <row r="64" spans="4:41" x14ac:dyDescent="0.35">
      <c r="D64" s="78"/>
      <c r="F64" s="19" t="s">
        <v>871</v>
      </c>
      <c r="G64" s="19" t="s">
        <v>277</v>
      </c>
      <c r="H64" s="114">
        <f>'General inputs'!H53</f>
        <v>2529968.092596143</v>
      </c>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row>
    <row r="65" spans="1:43" s="408" customFormat="1" x14ac:dyDescent="0.35">
      <c r="D65" s="410"/>
      <c r="E65" s="411"/>
      <c r="F65" t="s">
        <v>872</v>
      </c>
      <c r="G65" s="408" t="s">
        <v>277</v>
      </c>
      <c r="H65" s="414">
        <f>'General inputs'!H54</f>
        <v>6331537.0036689499</v>
      </c>
      <c r="J65" s="421"/>
      <c r="K65" s="421"/>
      <c r="L65" s="421"/>
      <c r="M65" s="421"/>
      <c r="N65" s="421"/>
      <c r="O65" s="421"/>
      <c r="P65" s="421"/>
      <c r="Q65" s="421"/>
      <c r="R65" s="421"/>
      <c r="S65" s="421"/>
      <c r="T65" s="421"/>
      <c r="U65" s="421"/>
      <c r="V65" s="421"/>
      <c r="W65" s="421"/>
      <c r="X65" s="421"/>
      <c r="Y65" s="421"/>
      <c r="Z65" s="421"/>
      <c r="AA65" s="421"/>
      <c r="AB65" s="421"/>
      <c r="AC65" s="421"/>
      <c r="AD65" s="421"/>
      <c r="AE65" s="421"/>
      <c r="AF65" s="421"/>
      <c r="AG65" s="421"/>
      <c r="AH65" s="421"/>
      <c r="AI65" s="421"/>
      <c r="AJ65" s="421"/>
      <c r="AK65" s="421"/>
      <c r="AL65" s="421"/>
      <c r="AM65" s="421"/>
      <c r="AN65" s="421"/>
      <c r="AO65" s="421"/>
    </row>
    <row r="66" spans="1:43" x14ac:dyDescent="0.35">
      <c r="A66" s="408"/>
      <c r="C66" s="78"/>
      <c r="F66" s="28" t="s">
        <v>1151</v>
      </c>
      <c r="G66" s="28" t="s">
        <v>277</v>
      </c>
      <c r="H66" s="115">
        <f>'General inputs'!H55</f>
        <v>0</v>
      </c>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4"/>
    </row>
    <row r="67" spans="1:43" x14ac:dyDescent="0.35">
      <c r="A67" s="408"/>
      <c r="C67" s="78"/>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row>
    <row r="68" spans="1:43" s="408" customFormat="1" x14ac:dyDescent="0.35">
      <c r="C68" s="410"/>
      <c r="D68" s="411"/>
      <c r="E68" s="408" t="s">
        <v>886</v>
      </c>
      <c r="F68"/>
      <c r="G68" s="408" t="s">
        <v>277</v>
      </c>
      <c r="H68" s="422">
        <f>H61 - H64  - H65 - H66</f>
        <v>980988753.48746264</v>
      </c>
      <c r="I68" s="408" t="s">
        <v>154</v>
      </c>
      <c r="J68" s="421"/>
      <c r="K68" s="421"/>
      <c r="L68" s="421"/>
      <c r="M68" s="421"/>
      <c r="N68" s="421"/>
      <c r="O68" s="421"/>
      <c r="P68" s="421"/>
      <c r="Q68" s="421"/>
      <c r="R68" s="421"/>
      <c r="S68" s="421"/>
      <c r="T68" s="421"/>
      <c r="U68" s="421"/>
      <c r="V68" s="421"/>
      <c r="W68" s="421"/>
      <c r="X68" s="421"/>
      <c r="Y68" s="421"/>
      <c r="Z68" s="421"/>
      <c r="AA68" s="421"/>
      <c r="AB68" s="421"/>
      <c r="AC68" s="421"/>
      <c r="AD68" s="421"/>
      <c r="AE68" s="421"/>
      <c r="AF68" s="421"/>
      <c r="AG68" s="421"/>
      <c r="AH68" s="421"/>
      <c r="AI68" s="421"/>
      <c r="AJ68" s="421"/>
      <c r="AK68" s="421"/>
      <c r="AL68" s="421"/>
      <c r="AM68" s="421"/>
      <c r="AN68" s="421"/>
      <c r="AO68" s="421"/>
      <c r="AQ68" s="408" t="s">
        <v>1158</v>
      </c>
    </row>
    <row r="69" spans="1:43" x14ac:dyDescent="0.35">
      <c r="C69" s="78"/>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row>
    <row r="70" spans="1:43" x14ac:dyDescent="0.35">
      <c r="C70" s="26" t="str">
        <f ca="1">INDEX('Version control'!$H$38:$H$61,MATCH($A$1,'Version control'!$F$38:$F$61,0),1)&amp;"-B: Net revenue before matching"</f>
        <v>Section 116-B: Net revenue before matching</v>
      </c>
      <c r="D70" s="26"/>
      <c r="E70" s="26"/>
      <c r="F70" s="26"/>
      <c r="G70" s="26"/>
      <c r="H70" s="26"/>
      <c r="I70" s="26"/>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179"/>
      <c r="AN70" s="179"/>
      <c r="AO70" s="179"/>
      <c r="AP70" s="26"/>
      <c r="AQ70" s="26"/>
    </row>
    <row r="71" spans="1:43" x14ac:dyDescent="0.35">
      <c r="C71" s="24"/>
      <c r="J71" s="154"/>
      <c r="K71" s="154"/>
      <c r="L71" s="154"/>
      <c r="M71" s="154"/>
      <c r="N71" s="154"/>
      <c r="O71" s="154"/>
      <c r="P71" s="154"/>
      <c r="Q71" s="154"/>
      <c r="R71" s="154"/>
      <c r="S71" s="154"/>
      <c r="T71" s="154"/>
      <c r="U71" s="154"/>
      <c r="V71" s="154"/>
      <c r="W71" s="154"/>
      <c r="X71" s="154"/>
      <c r="Y71" s="154"/>
      <c r="Z71" s="154"/>
      <c r="AA71" s="154"/>
      <c r="AB71" s="154"/>
      <c r="AC71" s="154"/>
      <c r="AD71" s="154"/>
      <c r="AE71" s="154"/>
      <c r="AF71" s="154"/>
      <c r="AG71" s="154"/>
      <c r="AH71" s="154"/>
      <c r="AI71" s="154"/>
      <c r="AJ71" s="154"/>
      <c r="AK71" s="154"/>
      <c r="AL71" s="154"/>
      <c r="AM71" s="154"/>
      <c r="AN71" s="154"/>
      <c r="AO71" s="154"/>
    </row>
    <row r="72" spans="1:43" x14ac:dyDescent="0.35">
      <c r="B72" s="24"/>
      <c r="D72" s="24" t="s">
        <v>737</v>
      </c>
      <c r="F72" s="2"/>
      <c r="J72" s="154"/>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54"/>
      <c r="AK72" s="154"/>
      <c r="AL72" s="154"/>
      <c r="AM72" s="154"/>
      <c r="AN72" s="154"/>
      <c r="AO72" s="154"/>
    </row>
    <row r="73" spans="1:43" x14ac:dyDescent="0.35">
      <c r="D73" s="24" t="s">
        <v>738</v>
      </c>
      <c r="F73" s="2"/>
      <c r="J73" s="154"/>
      <c r="K73" s="154"/>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c r="AJ73" s="154"/>
      <c r="AK73" s="154"/>
      <c r="AL73" s="154"/>
      <c r="AM73" s="154"/>
      <c r="AN73" s="154"/>
      <c r="AO73" s="154"/>
    </row>
    <row r="74" spans="1:43" x14ac:dyDescent="0.35">
      <c r="D74" s="24"/>
      <c r="F74" s="2"/>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row>
    <row r="75" spans="1:43" x14ac:dyDescent="0.35">
      <c r="D75"/>
      <c r="E75" s="27" t="s">
        <v>739</v>
      </c>
      <c r="F75" s="27"/>
      <c r="H75" s="118" t="s">
        <v>544</v>
      </c>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c r="AN75" s="154"/>
      <c r="AO75" s="154"/>
    </row>
    <row r="76" spans="1:43" x14ac:dyDescent="0.35">
      <c r="D76" s="78"/>
      <c r="F76" s="19" t="s">
        <v>156</v>
      </c>
      <c r="G76" s="19" t="s">
        <v>277</v>
      </c>
      <c r="H76" s="148">
        <f t="shared" ref="H76:H83" si="8">SUM(J76:AO76)</f>
        <v>186186427.50762892</v>
      </c>
      <c r="I76" s="119"/>
      <c r="J76" s="308">
        <f t="shared" ref="J76:AO76" si="9">J53 * thousand * J40 / hundred</f>
        <v>111352649.83877085</v>
      </c>
      <c r="K76" s="308">
        <f t="shared" si="9"/>
        <v>35950.474443215142</v>
      </c>
      <c r="L76" s="308">
        <f t="shared" si="9"/>
        <v>24101.384980596107</v>
      </c>
      <c r="M76" s="308">
        <f t="shared" si="9"/>
        <v>2246647.9347302215</v>
      </c>
      <c r="N76" s="308">
        <f t="shared" si="9"/>
        <v>4646045.0079902047</v>
      </c>
      <c r="O76" s="308">
        <f t="shared" si="9"/>
        <v>5348838.0350263938</v>
      </c>
      <c r="P76" s="308">
        <f t="shared" si="9"/>
        <v>14456570.896084405</v>
      </c>
      <c r="Q76" s="308">
        <f t="shared" si="9"/>
        <v>54228.228427574031</v>
      </c>
      <c r="R76" s="308">
        <f t="shared" si="9"/>
        <v>5351.6119238395113</v>
      </c>
      <c r="S76" s="308">
        <f t="shared" si="9"/>
        <v>6401361.8994680438</v>
      </c>
      <c r="T76" s="308">
        <f t="shared" si="9"/>
        <v>6318874.6012670146</v>
      </c>
      <c r="U76" s="308">
        <f t="shared" si="9"/>
        <v>5105214.8557614964</v>
      </c>
      <c r="V76" s="308">
        <f t="shared" si="9"/>
        <v>16735939.469072348</v>
      </c>
      <c r="W76" s="308">
        <f t="shared" si="9"/>
        <v>0</v>
      </c>
      <c r="X76" s="308">
        <f t="shared" si="9"/>
        <v>42928.32308218941</v>
      </c>
      <c r="Y76" s="308">
        <f t="shared" si="9"/>
        <v>60178.782674822069</v>
      </c>
      <c r="Z76" s="308">
        <f t="shared" si="9"/>
        <v>93106.144091606548</v>
      </c>
      <c r="AA76" s="308">
        <f t="shared" si="9"/>
        <v>1168444.7653099317</v>
      </c>
      <c r="AB76" s="308">
        <f t="shared" si="9"/>
        <v>13593.416357041977</v>
      </c>
      <c r="AC76" s="308">
        <f t="shared" si="9"/>
        <v>850203.10069713311</v>
      </c>
      <c r="AD76" s="308">
        <f t="shared" si="9"/>
        <v>3176039.0540400366</v>
      </c>
      <c r="AE76" s="308">
        <f t="shared" si="9"/>
        <v>2495069.3965565036</v>
      </c>
      <c r="AF76" s="308">
        <f t="shared" si="9"/>
        <v>7248647.2409121208</v>
      </c>
      <c r="AG76" s="308">
        <f t="shared" si="9"/>
        <v>2361249.247659483</v>
      </c>
      <c r="AH76" s="308">
        <f t="shared" si="9"/>
        <v>-61607.813187214808</v>
      </c>
      <c r="AI76" s="308">
        <f t="shared" si="9"/>
        <v>-1998.3461002560718</v>
      </c>
      <c r="AJ76" s="308">
        <f t="shared" si="9"/>
        <v>-300790.06407990522</v>
      </c>
      <c r="AK76" s="308">
        <f t="shared" si="9"/>
        <v>0</v>
      </c>
      <c r="AL76" s="308">
        <f t="shared" si="9"/>
        <v>0</v>
      </c>
      <c r="AM76" s="308">
        <f t="shared" si="9"/>
        <v>0</v>
      </c>
      <c r="AN76" s="308">
        <f t="shared" si="9"/>
        <v>-3690409.9783306695</v>
      </c>
      <c r="AO76" s="308">
        <f t="shared" si="9"/>
        <v>0</v>
      </c>
    </row>
    <row r="77" spans="1:43" x14ac:dyDescent="0.35">
      <c r="D77" s="78"/>
      <c r="F77" t="s">
        <v>157</v>
      </c>
      <c r="G77" t="s">
        <v>277</v>
      </c>
      <c r="H77" s="79">
        <f t="shared" si="8"/>
        <v>112196638.3855146</v>
      </c>
      <c r="I77" s="53"/>
      <c r="J77" s="205">
        <f t="shared" ref="J77" si="10">J54 * thousand * J41 / hundred</f>
        <v>62107207.55497507</v>
      </c>
      <c r="K77" s="205">
        <f t="shared" ref="K77:AO77" si="11">K54 * thousand * K41 / hundred</f>
        <v>443943.98794681579</v>
      </c>
      <c r="L77" s="205">
        <f t="shared" si="11"/>
        <v>19316.603523001395</v>
      </c>
      <c r="M77" s="205">
        <f t="shared" si="11"/>
        <v>1804846.7446202347</v>
      </c>
      <c r="N77" s="205">
        <f t="shared" si="11"/>
        <v>3732547.104510433</v>
      </c>
      <c r="O77" s="205">
        <f t="shared" si="11"/>
        <v>4297162.2968009431</v>
      </c>
      <c r="P77" s="205">
        <f t="shared" si="11"/>
        <v>11614363.135363309</v>
      </c>
      <c r="Q77" s="205">
        <f t="shared" si="11"/>
        <v>87784.840348337762</v>
      </c>
      <c r="R77" s="205">
        <f t="shared" si="11"/>
        <v>3370.8533527734517</v>
      </c>
      <c r="S77" s="205">
        <f t="shared" si="11"/>
        <v>4029791.3695315723</v>
      </c>
      <c r="T77" s="205">
        <f t="shared" si="11"/>
        <v>3977340.9439559584</v>
      </c>
      <c r="U77" s="205">
        <f t="shared" si="11"/>
        <v>3213834.0125848777</v>
      </c>
      <c r="V77" s="205">
        <f t="shared" si="11"/>
        <v>10532394.542630367</v>
      </c>
      <c r="W77" s="205">
        <f t="shared" si="11"/>
        <v>0</v>
      </c>
      <c r="X77" s="205">
        <f t="shared" si="11"/>
        <v>18110.491792214998</v>
      </c>
      <c r="Y77" s="205">
        <f t="shared" si="11"/>
        <v>25540.656129718947</v>
      </c>
      <c r="Z77" s="205">
        <f t="shared" si="11"/>
        <v>39512.743178862525</v>
      </c>
      <c r="AA77" s="205">
        <f t="shared" si="11"/>
        <v>495847.75394743035</v>
      </c>
      <c r="AB77" s="205">
        <f t="shared" si="11"/>
        <v>5070.7013866887046</v>
      </c>
      <c r="AC77" s="205">
        <f t="shared" si="11"/>
        <v>317290.01532911998</v>
      </c>
      <c r="AD77" s="205">
        <f t="shared" si="11"/>
        <v>1185014.8008140712</v>
      </c>
      <c r="AE77" s="205">
        <f t="shared" si="11"/>
        <v>930765.36396066565</v>
      </c>
      <c r="AF77" s="205">
        <f t="shared" si="11"/>
        <v>2704290.0043216045</v>
      </c>
      <c r="AG77" s="205">
        <f t="shared" si="11"/>
        <v>2728994.2547669117</v>
      </c>
      <c r="AH77" s="205">
        <f t="shared" si="11"/>
        <v>-66477.850346670166</v>
      </c>
      <c r="AI77" s="205">
        <f t="shared" si="11"/>
        <v>-1139.8735789500904</v>
      </c>
      <c r="AJ77" s="205">
        <f t="shared" si="11"/>
        <v>-300498.07808054914</v>
      </c>
      <c r="AK77" s="205">
        <f t="shared" si="11"/>
        <v>0</v>
      </c>
      <c r="AL77" s="205">
        <f t="shared" si="11"/>
        <v>0</v>
      </c>
      <c r="AM77" s="205">
        <f t="shared" si="11"/>
        <v>0</v>
      </c>
      <c r="AN77" s="205">
        <f t="shared" si="11"/>
        <v>-1749586.5882502191</v>
      </c>
      <c r="AO77" s="205">
        <f t="shared" si="11"/>
        <v>0</v>
      </c>
    </row>
    <row r="78" spans="1:43" x14ac:dyDescent="0.35">
      <c r="D78" s="78"/>
      <c r="F78" t="s">
        <v>158</v>
      </c>
      <c r="G78" t="s">
        <v>277</v>
      </c>
      <c r="H78" s="79">
        <f t="shared" si="8"/>
        <v>6044082.2813641233</v>
      </c>
      <c r="I78" s="53"/>
      <c r="J78" s="205">
        <f t="shared" ref="J78" si="12">J55 * thousand * J42 / hundred</f>
        <v>1649553.769805772</v>
      </c>
      <c r="K78" s="205">
        <f t="shared" ref="K78:AO78" si="13">K55 * thousand * K42 / hundred</f>
        <v>52178.687564124179</v>
      </c>
      <c r="L78" s="205">
        <f t="shared" si="13"/>
        <v>418.08722587110918</v>
      </c>
      <c r="M78" s="205">
        <f t="shared" si="13"/>
        <v>41431.180398326622</v>
      </c>
      <c r="N78" s="205">
        <f t="shared" si="13"/>
        <v>85691.407589879746</v>
      </c>
      <c r="O78" s="205">
        <f t="shared" si="13"/>
        <v>98665.80321385822</v>
      </c>
      <c r="P78" s="205">
        <f t="shared" si="13"/>
        <v>266745.83165083843</v>
      </c>
      <c r="Q78" s="205">
        <f t="shared" si="13"/>
        <v>13653.993521634333</v>
      </c>
      <c r="R78" s="205">
        <f t="shared" si="13"/>
        <v>87.956811844841582</v>
      </c>
      <c r="S78" s="205">
        <f t="shared" si="13"/>
        <v>105178.19852516273</v>
      </c>
      <c r="T78" s="205">
        <f t="shared" si="13"/>
        <v>103822.91388196796</v>
      </c>
      <c r="U78" s="205">
        <f t="shared" si="13"/>
        <v>83900.442758096833</v>
      </c>
      <c r="V78" s="205">
        <f t="shared" si="13"/>
        <v>274928.23824971559</v>
      </c>
      <c r="W78" s="205">
        <f t="shared" si="13"/>
        <v>0</v>
      </c>
      <c r="X78" s="205">
        <f t="shared" si="13"/>
        <v>433.13073783374881</v>
      </c>
      <c r="Y78" s="205">
        <f t="shared" si="13"/>
        <v>761.47480484127868</v>
      </c>
      <c r="Z78" s="205">
        <f t="shared" si="13"/>
        <v>1175.3798654597256</v>
      </c>
      <c r="AA78" s="205">
        <f t="shared" si="13"/>
        <v>14728.981865720763</v>
      </c>
      <c r="AB78" s="205">
        <f t="shared" si="13"/>
        <v>153.77897038625551</v>
      </c>
      <c r="AC78" s="205">
        <f t="shared" si="13"/>
        <v>9617.2291571716723</v>
      </c>
      <c r="AD78" s="205">
        <f t="shared" si="13"/>
        <v>35928.02562269257</v>
      </c>
      <c r="AE78" s="205">
        <f t="shared" si="13"/>
        <v>28225.856004598529</v>
      </c>
      <c r="AF78" s="205">
        <f t="shared" si="13"/>
        <v>81999.891922277777</v>
      </c>
      <c r="AG78" s="205">
        <f t="shared" si="13"/>
        <v>3136807.1876835232</v>
      </c>
      <c r="AH78" s="205">
        <f t="shared" si="13"/>
        <v>-322.1316315108528</v>
      </c>
      <c r="AI78" s="205">
        <f t="shared" si="13"/>
        <v>-7.6859614475184772</v>
      </c>
      <c r="AJ78" s="205">
        <f t="shared" si="13"/>
        <v>-4446.2685087111504</v>
      </c>
      <c r="AK78" s="205">
        <f t="shared" si="13"/>
        <v>0</v>
      </c>
      <c r="AL78" s="205">
        <f t="shared" si="13"/>
        <v>0</v>
      </c>
      <c r="AM78" s="205">
        <f t="shared" si="13"/>
        <v>0</v>
      </c>
      <c r="AN78" s="205">
        <f t="shared" si="13"/>
        <v>-37229.080365805239</v>
      </c>
      <c r="AO78" s="205">
        <f t="shared" si="13"/>
        <v>0</v>
      </c>
    </row>
    <row r="79" spans="1:43" x14ac:dyDescent="0.35">
      <c r="D79" s="78"/>
      <c r="F79" t="s">
        <v>159</v>
      </c>
      <c r="G79" t="s">
        <v>277</v>
      </c>
      <c r="H79" s="79">
        <f t="shared" si="8"/>
        <v>72831734.242135689</v>
      </c>
      <c r="I79" s="53"/>
      <c r="J79" s="308">
        <f t="shared" ref="J79" si="14">J56 * J43 * days_in_year / hundred</f>
        <v>61013680.602155134</v>
      </c>
      <c r="K79" s="308">
        <f t="shared" ref="K79:AO79" si="15">K56 * K43 * days_in_year / hundred</f>
        <v>0</v>
      </c>
      <c r="L79" s="308">
        <f t="shared" si="15"/>
        <v>338.6781951436032</v>
      </c>
      <c r="M79" s="308">
        <f t="shared" si="15"/>
        <v>3176377.8582957261</v>
      </c>
      <c r="N79" s="308">
        <f t="shared" si="15"/>
        <v>2399637.007935321</v>
      </c>
      <c r="O79" s="308">
        <f t="shared" si="15"/>
        <v>1247514.4309517089</v>
      </c>
      <c r="P79" s="308">
        <f t="shared" si="15"/>
        <v>1198970.6414065561</v>
      </c>
      <c r="Q79" s="308">
        <f t="shared" si="15"/>
        <v>0</v>
      </c>
      <c r="R79" s="308">
        <f t="shared" si="15"/>
        <v>1009.1940335235937</v>
      </c>
      <c r="S79" s="308">
        <f t="shared" si="15"/>
        <v>865313.45451764646</v>
      </c>
      <c r="T79" s="308">
        <f t="shared" si="15"/>
        <v>509098.55128311977</v>
      </c>
      <c r="U79" s="308">
        <f t="shared" si="15"/>
        <v>243848.21756843678</v>
      </c>
      <c r="V79" s="308">
        <f t="shared" si="15"/>
        <v>328364.36306081689</v>
      </c>
      <c r="W79" s="308">
        <f t="shared" si="15"/>
        <v>0</v>
      </c>
      <c r="X79" s="308">
        <f t="shared" si="15"/>
        <v>4985.6959984751402</v>
      </c>
      <c r="Y79" s="308">
        <f t="shared" si="15"/>
        <v>9627.2010134616758</v>
      </c>
      <c r="Z79" s="308">
        <f t="shared" si="15"/>
        <v>11832.217148770835</v>
      </c>
      <c r="AA79" s="308">
        <f t="shared" si="15"/>
        <v>47992.151100662595</v>
      </c>
      <c r="AB79" s="308">
        <f t="shared" si="15"/>
        <v>60487.43191407917</v>
      </c>
      <c r="AC79" s="308">
        <f t="shared" si="15"/>
        <v>369405.61328620871</v>
      </c>
      <c r="AD79" s="308">
        <f t="shared" si="15"/>
        <v>532509.18275713886</v>
      </c>
      <c r="AE79" s="308">
        <f t="shared" si="15"/>
        <v>213545.13636240282</v>
      </c>
      <c r="AF79" s="308">
        <f t="shared" si="15"/>
        <v>241125.62150249974</v>
      </c>
      <c r="AG79" s="308">
        <f t="shared" si="15"/>
        <v>0</v>
      </c>
      <c r="AH79" s="308">
        <f t="shared" si="15"/>
        <v>0</v>
      </c>
      <c r="AI79" s="308">
        <f t="shared" si="15"/>
        <v>0</v>
      </c>
      <c r="AJ79" s="308">
        <f t="shared" si="15"/>
        <v>0</v>
      </c>
      <c r="AK79" s="308">
        <f t="shared" si="15"/>
        <v>0</v>
      </c>
      <c r="AL79" s="308">
        <f t="shared" si="15"/>
        <v>0</v>
      </c>
      <c r="AM79" s="308">
        <f t="shared" si="15"/>
        <v>0</v>
      </c>
      <c r="AN79" s="308">
        <f t="shared" si="15"/>
        <v>356070.99164885469</v>
      </c>
      <c r="AO79" s="308">
        <f t="shared" si="15"/>
        <v>0</v>
      </c>
    </row>
    <row r="80" spans="1:43" x14ac:dyDescent="0.35">
      <c r="D80" s="78"/>
      <c r="F80" t="s">
        <v>735</v>
      </c>
      <c r="G80" t="s">
        <v>277</v>
      </c>
      <c r="H80" s="79">
        <f t="shared" si="8"/>
        <v>103182517.25086507</v>
      </c>
      <c r="I80" s="53"/>
      <c r="J80" s="375">
        <f t="shared" ref="J80" si="16">J57 * J44 * days_in_year / hundred</f>
        <v>0</v>
      </c>
      <c r="K80" s="375">
        <f t="shared" ref="K80:AO80" si="17">K57 * K44 * days_in_year / hundred</f>
        <v>0</v>
      </c>
      <c r="L80" s="375">
        <f t="shared" si="17"/>
        <v>0</v>
      </c>
      <c r="M80" s="375">
        <f t="shared" si="17"/>
        <v>0</v>
      </c>
      <c r="N80" s="375">
        <f t="shared" si="17"/>
        <v>0</v>
      </c>
      <c r="O80" s="375">
        <f t="shared" si="17"/>
        <v>0</v>
      </c>
      <c r="P80" s="375">
        <f t="shared" si="17"/>
        <v>0</v>
      </c>
      <c r="Q80" s="375">
        <f t="shared" si="17"/>
        <v>0</v>
      </c>
      <c r="R80" s="375">
        <f t="shared" si="17"/>
        <v>8102.6247620067579</v>
      </c>
      <c r="S80" s="375">
        <f t="shared" si="17"/>
        <v>9793024.7125208564</v>
      </c>
      <c r="T80" s="375">
        <f t="shared" si="17"/>
        <v>9726458.8957508411</v>
      </c>
      <c r="U80" s="375">
        <f t="shared" si="17"/>
        <v>7903394.4619231708</v>
      </c>
      <c r="V80" s="375">
        <f t="shared" si="17"/>
        <v>25707045.074599072</v>
      </c>
      <c r="W80" s="375">
        <f t="shared" si="17"/>
        <v>0</v>
      </c>
      <c r="X80" s="375">
        <f t="shared" si="17"/>
        <v>11262.425333448455</v>
      </c>
      <c r="Y80" s="375">
        <f t="shared" si="17"/>
        <v>146895.15620641696</v>
      </c>
      <c r="Z80" s="375">
        <f t="shared" si="17"/>
        <v>224939.60324809299</v>
      </c>
      <c r="AA80" s="375">
        <f t="shared" si="17"/>
        <v>2804578.3029456954</v>
      </c>
      <c r="AB80" s="375">
        <f t="shared" si="17"/>
        <v>46462.336801800549</v>
      </c>
      <c r="AC80" s="375">
        <f t="shared" si="17"/>
        <v>2860902.1757284529</v>
      </c>
      <c r="AD80" s="375">
        <f t="shared" si="17"/>
        <v>10770302.80407995</v>
      </c>
      <c r="AE80" s="375">
        <f t="shared" si="17"/>
        <v>8515783.1256240476</v>
      </c>
      <c r="AF80" s="375">
        <f t="shared" si="17"/>
        <v>24663365.551341228</v>
      </c>
      <c r="AG80" s="375">
        <f t="shared" si="17"/>
        <v>0</v>
      </c>
      <c r="AH80" s="375">
        <f t="shared" si="17"/>
        <v>0</v>
      </c>
      <c r="AI80" s="375">
        <f t="shared" si="17"/>
        <v>0</v>
      </c>
      <c r="AJ80" s="375">
        <f t="shared" si="17"/>
        <v>0</v>
      </c>
      <c r="AK80" s="375">
        <f t="shared" si="17"/>
        <v>0</v>
      </c>
      <c r="AL80" s="375">
        <f t="shared" si="17"/>
        <v>0</v>
      </c>
      <c r="AM80" s="375">
        <f t="shared" si="17"/>
        <v>0</v>
      </c>
      <c r="AN80" s="375">
        <f t="shared" si="17"/>
        <v>0</v>
      </c>
      <c r="AO80" s="375">
        <f t="shared" si="17"/>
        <v>0</v>
      </c>
    </row>
    <row r="81" spans="2:43" x14ac:dyDescent="0.35">
      <c r="D81" s="78"/>
      <c r="F81" t="s">
        <v>252</v>
      </c>
      <c r="G81" t="s">
        <v>277</v>
      </c>
      <c r="H81" s="79">
        <f t="shared" si="8"/>
        <v>2647771.7928141071</v>
      </c>
      <c r="I81" s="53"/>
      <c r="J81" s="309">
        <f t="shared" ref="J81" si="18">J58 * J45 * days_in_year / hundred</f>
        <v>0</v>
      </c>
      <c r="K81" s="309">
        <f t="shared" ref="K81:AO81" si="19">K58 * K45 * days_in_year / hundred</f>
        <v>0</v>
      </c>
      <c r="L81" s="309">
        <f t="shared" si="19"/>
        <v>0</v>
      </c>
      <c r="M81" s="309">
        <f t="shared" si="19"/>
        <v>0</v>
      </c>
      <c r="N81" s="309">
        <f t="shared" si="19"/>
        <v>0</v>
      </c>
      <c r="O81" s="309">
        <f t="shared" si="19"/>
        <v>0</v>
      </c>
      <c r="P81" s="309">
        <f t="shared" si="19"/>
        <v>0</v>
      </c>
      <c r="Q81" s="309">
        <f t="shared" si="19"/>
        <v>0</v>
      </c>
      <c r="R81" s="309">
        <f t="shared" si="19"/>
        <v>231.41976768127196</v>
      </c>
      <c r="S81" s="309">
        <f t="shared" si="19"/>
        <v>274489.95674463315</v>
      </c>
      <c r="T81" s="309">
        <f t="shared" si="19"/>
        <v>270036.79224031477</v>
      </c>
      <c r="U81" s="309">
        <f t="shared" si="19"/>
        <v>217929.98258119487</v>
      </c>
      <c r="V81" s="309">
        <f t="shared" si="19"/>
        <v>714751.28420820285</v>
      </c>
      <c r="W81" s="309">
        <f t="shared" si="19"/>
        <v>0</v>
      </c>
      <c r="X81" s="309">
        <f t="shared" si="19"/>
        <v>62.305943302376456</v>
      </c>
      <c r="Y81" s="309">
        <f t="shared" si="19"/>
        <v>812.65278152910514</v>
      </c>
      <c r="Z81" s="309">
        <f t="shared" si="19"/>
        <v>1244.4099518077287</v>
      </c>
      <c r="AA81" s="309">
        <f t="shared" si="19"/>
        <v>15515.476600891727</v>
      </c>
      <c r="AB81" s="309">
        <f t="shared" si="19"/>
        <v>1142.9931568596432</v>
      </c>
      <c r="AC81" s="309">
        <f t="shared" si="19"/>
        <v>70379.404790844812</v>
      </c>
      <c r="AD81" s="309">
        <f t="shared" si="19"/>
        <v>264954.00898330513</v>
      </c>
      <c r="AE81" s="309">
        <f t="shared" si="19"/>
        <v>209491.87035964825</v>
      </c>
      <c r="AF81" s="309">
        <f t="shared" si="19"/>
        <v>606729.23470389144</v>
      </c>
      <c r="AG81" s="309">
        <f t="shared" si="19"/>
        <v>0</v>
      </c>
      <c r="AH81" s="309">
        <f t="shared" si="19"/>
        <v>0</v>
      </c>
      <c r="AI81" s="309">
        <f t="shared" si="19"/>
        <v>0</v>
      </c>
      <c r="AJ81" s="309">
        <f t="shared" si="19"/>
        <v>0</v>
      </c>
      <c r="AK81" s="309">
        <f t="shared" si="19"/>
        <v>0</v>
      </c>
      <c r="AL81" s="309">
        <f t="shared" si="19"/>
        <v>0</v>
      </c>
      <c r="AM81" s="309">
        <f t="shared" si="19"/>
        <v>0</v>
      </c>
      <c r="AN81" s="309">
        <f t="shared" si="19"/>
        <v>0</v>
      </c>
      <c r="AO81" s="309">
        <f t="shared" si="19"/>
        <v>0</v>
      </c>
    </row>
    <row r="82" spans="2:43" x14ac:dyDescent="0.35">
      <c r="D82" s="78"/>
      <c r="F82" s="28" t="s">
        <v>215</v>
      </c>
      <c r="G82" s="57" t="s">
        <v>277</v>
      </c>
      <c r="H82" s="72">
        <f t="shared" si="8"/>
        <v>1347610.0789268126</v>
      </c>
      <c r="I82" s="120"/>
      <c r="J82" s="309">
        <f t="shared" ref="J82" si="20">J59 * thousand * J46 / hundred</f>
        <v>0</v>
      </c>
      <c r="K82" s="309">
        <f t="shared" ref="K82:AO82" si="21">K59 * thousand * K46 / hundred</f>
        <v>0</v>
      </c>
      <c r="L82" s="309">
        <f t="shared" si="21"/>
        <v>0</v>
      </c>
      <c r="M82" s="309">
        <f t="shared" si="21"/>
        <v>0</v>
      </c>
      <c r="N82" s="309">
        <f t="shared" si="21"/>
        <v>0</v>
      </c>
      <c r="O82" s="309">
        <f t="shared" si="21"/>
        <v>0</v>
      </c>
      <c r="P82" s="309">
        <f t="shared" si="21"/>
        <v>0</v>
      </c>
      <c r="Q82" s="309">
        <f t="shared" si="21"/>
        <v>0</v>
      </c>
      <c r="R82" s="309">
        <f t="shared" si="21"/>
        <v>144.61431201706074</v>
      </c>
      <c r="S82" s="309">
        <f t="shared" si="21"/>
        <v>173790.67053331676</v>
      </c>
      <c r="T82" s="309">
        <f t="shared" si="21"/>
        <v>172096.31319341226</v>
      </c>
      <c r="U82" s="309">
        <f t="shared" si="21"/>
        <v>139520.87988447575</v>
      </c>
      <c r="V82" s="309">
        <f t="shared" si="21"/>
        <v>455122.83433681435</v>
      </c>
      <c r="W82" s="309">
        <f t="shared" si="21"/>
        <v>0</v>
      </c>
      <c r="X82" s="309">
        <f t="shared" si="21"/>
        <v>1700.3454978940219</v>
      </c>
      <c r="Y82" s="309">
        <f t="shared" si="21"/>
        <v>1443.9316713666462</v>
      </c>
      <c r="Z82" s="309">
        <f t="shared" si="21"/>
        <v>2250.6957094526601</v>
      </c>
      <c r="AA82" s="309">
        <f t="shared" si="21"/>
        <v>28376.658890064587</v>
      </c>
      <c r="AB82" s="309">
        <f t="shared" si="21"/>
        <v>285.50821056881517</v>
      </c>
      <c r="AC82" s="309">
        <f t="shared" si="21"/>
        <v>17655.762144357501</v>
      </c>
      <c r="AD82" s="309">
        <f t="shared" si="21"/>
        <v>66326.21243384674</v>
      </c>
      <c r="AE82" s="309">
        <f t="shared" si="21"/>
        <v>52349.731148781277</v>
      </c>
      <c r="AF82" s="309">
        <f t="shared" si="21"/>
        <v>151743.7601545236</v>
      </c>
      <c r="AG82" s="309">
        <f t="shared" si="21"/>
        <v>0</v>
      </c>
      <c r="AH82" s="309">
        <f t="shared" si="21"/>
        <v>0</v>
      </c>
      <c r="AI82" s="309">
        <f t="shared" si="21"/>
        <v>0</v>
      </c>
      <c r="AJ82" s="309">
        <f t="shared" si="21"/>
        <v>17122.813963091747</v>
      </c>
      <c r="AK82" s="309">
        <f t="shared" si="21"/>
        <v>0</v>
      </c>
      <c r="AL82" s="309">
        <f t="shared" si="21"/>
        <v>0</v>
      </c>
      <c r="AM82" s="309">
        <f t="shared" si="21"/>
        <v>0</v>
      </c>
      <c r="AN82" s="309">
        <f t="shared" si="21"/>
        <v>67679.346842828891</v>
      </c>
      <c r="AO82" s="309">
        <f t="shared" si="21"/>
        <v>0</v>
      </c>
    </row>
    <row r="83" spans="2:43" x14ac:dyDescent="0.35">
      <c r="D83"/>
      <c r="E83" s="24"/>
      <c r="F83" s="98" t="s">
        <v>100</v>
      </c>
      <c r="G83" s="142" t="s">
        <v>277</v>
      </c>
      <c r="H83" s="157">
        <f t="shared" si="8"/>
        <v>484436781.5392493</v>
      </c>
      <c r="I83" s="158"/>
      <c r="J83" s="206">
        <f t="shared" ref="J83" si="22">SUM(J76:J82)</f>
        <v>236123091.76570684</v>
      </c>
      <c r="K83" s="206">
        <f t="shared" ref="K83:AO83" si="23">SUM(K76:K82)</f>
        <v>532073.14995415509</v>
      </c>
      <c r="L83" s="206">
        <f t="shared" si="23"/>
        <v>44174.753924612218</v>
      </c>
      <c r="M83" s="206">
        <f t="shared" si="23"/>
        <v>7269303.7180445092</v>
      </c>
      <c r="N83" s="206">
        <f t="shared" si="23"/>
        <v>10863920.528025838</v>
      </c>
      <c r="O83" s="206">
        <f t="shared" si="23"/>
        <v>10992180.565992905</v>
      </c>
      <c r="P83" s="206">
        <f t="shared" si="23"/>
        <v>27536650.504505109</v>
      </c>
      <c r="Q83" s="206">
        <f t="shared" si="23"/>
        <v>155667.06229754613</v>
      </c>
      <c r="R83" s="206">
        <f t="shared" si="23"/>
        <v>18298.27496368649</v>
      </c>
      <c r="S83" s="206">
        <f t="shared" si="23"/>
        <v>21642950.261841234</v>
      </c>
      <c r="T83" s="206">
        <f t="shared" si="23"/>
        <v>21077729.011572629</v>
      </c>
      <c r="U83" s="206">
        <f t="shared" si="23"/>
        <v>16907642.853061747</v>
      </c>
      <c r="V83" s="206">
        <f t="shared" si="23"/>
        <v>54748545.806157343</v>
      </c>
      <c r="W83" s="206">
        <f t="shared" si="23"/>
        <v>0</v>
      </c>
      <c r="X83" s="206">
        <f t="shared" si="23"/>
        <v>79482.718385358152</v>
      </c>
      <c r="Y83" s="206">
        <f t="shared" si="23"/>
        <v>245259.8552821567</v>
      </c>
      <c r="Z83" s="206">
        <f t="shared" si="23"/>
        <v>374061.19319405302</v>
      </c>
      <c r="AA83" s="206">
        <f t="shared" si="23"/>
        <v>4575484.0906603979</v>
      </c>
      <c r="AB83" s="206">
        <f t="shared" si="23"/>
        <v>127196.1667974251</v>
      </c>
      <c r="AC83" s="206">
        <f t="shared" si="23"/>
        <v>4495453.301133289</v>
      </c>
      <c r="AD83" s="206">
        <f t="shared" si="23"/>
        <v>16031074.088731041</v>
      </c>
      <c r="AE83" s="206">
        <f t="shared" si="23"/>
        <v>12445230.480016647</v>
      </c>
      <c r="AF83" s="206">
        <f t="shared" si="23"/>
        <v>35697901.304858148</v>
      </c>
      <c r="AG83" s="206">
        <f t="shared" si="23"/>
        <v>8227050.6901099179</v>
      </c>
      <c r="AH83" s="206">
        <f t="shared" si="23"/>
        <v>-128407.79516539583</v>
      </c>
      <c r="AI83" s="206">
        <f t="shared" si="23"/>
        <v>-3145.9056406536806</v>
      </c>
      <c r="AJ83" s="206">
        <f t="shared" si="23"/>
        <v>-588611.59670607373</v>
      </c>
      <c r="AK83" s="206">
        <f t="shared" si="23"/>
        <v>0</v>
      </c>
      <c r="AL83" s="206">
        <f t="shared" si="23"/>
        <v>0</v>
      </c>
      <c r="AM83" s="206">
        <f t="shared" si="23"/>
        <v>0</v>
      </c>
      <c r="AN83" s="206">
        <f t="shared" si="23"/>
        <v>-5053475.3084550099</v>
      </c>
      <c r="AO83" s="206">
        <f t="shared" si="23"/>
        <v>0</v>
      </c>
      <c r="AP83" s="200"/>
      <c r="AQ83" s="200"/>
    </row>
    <row r="84" spans="2:43" x14ac:dyDescent="0.35">
      <c r="D84"/>
      <c r="E84" s="27"/>
      <c r="F84" s="24"/>
      <c r="H84" s="79"/>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row>
    <row r="85" spans="2:43" x14ac:dyDescent="0.35">
      <c r="D85" s="78"/>
      <c r="E85" t="s">
        <v>740</v>
      </c>
      <c r="G85" t="s">
        <v>277</v>
      </c>
      <c r="H85" s="88">
        <f>H68 - H83</f>
        <v>496551971.94821334</v>
      </c>
      <c r="I85" s="200" t="s">
        <v>154</v>
      </c>
      <c r="J85" s="324"/>
      <c r="K85" s="324"/>
      <c r="L85" s="324"/>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4"/>
      <c r="AL85" s="324"/>
      <c r="AM85" s="324"/>
      <c r="AN85" s="324"/>
      <c r="AO85" s="324"/>
      <c r="AP85" s="200"/>
      <c r="AQ85" s="200" t="s">
        <v>1146</v>
      </c>
    </row>
    <row r="86" spans="2:43" x14ac:dyDescent="0.35">
      <c r="C86" s="78"/>
      <c r="I86" s="200"/>
      <c r="J86" s="324"/>
      <c r="K86" s="324"/>
      <c r="L86" s="324"/>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4"/>
      <c r="AL86" s="324"/>
      <c r="AM86" s="324"/>
      <c r="AN86" s="324"/>
      <c r="AO86" s="324"/>
      <c r="AP86" s="200"/>
      <c r="AQ86" s="200"/>
    </row>
    <row r="87" spans="2:43" x14ac:dyDescent="0.35">
      <c r="B87" s="25" t="s">
        <v>936</v>
      </c>
      <c r="C87" s="25"/>
      <c r="D87" s="25"/>
      <c r="E87" s="25"/>
      <c r="F87" s="25"/>
      <c r="G87" s="25"/>
      <c r="H87" s="25"/>
      <c r="I87" s="25"/>
      <c r="J87" s="190"/>
      <c r="K87" s="190"/>
      <c r="L87" s="190"/>
      <c r="M87" s="190"/>
      <c r="N87" s="190"/>
      <c r="O87" s="190"/>
      <c r="P87" s="190"/>
      <c r="Q87" s="190"/>
      <c r="R87" s="190"/>
      <c r="S87" s="190"/>
      <c r="T87" s="190"/>
      <c r="U87" s="190"/>
      <c r="V87" s="190"/>
      <c r="W87" s="190"/>
      <c r="X87" s="190"/>
      <c r="Y87" s="190"/>
      <c r="Z87" s="190"/>
      <c r="AA87" s="190"/>
      <c r="AB87" s="190"/>
      <c r="AC87" s="190"/>
      <c r="AD87" s="190"/>
      <c r="AE87" s="190"/>
      <c r="AF87" s="190"/>
      <c r="AG87" s="190"/>
      <c r="AH87" s="190"/>
      <c r="AI87" s="190"/>
      <c r="AJ87" s="190"/>
      <c r="AK87" s="190"/>
      <c r="AL87" s="190"/>
      <c r="AM87" s="190"/>
      <c r="AN87" s="190"/>
      <c r="AO87" s="190"/>
      <c r="AP87" s="95"/>
      <c r="AQ87" s="95"/>
    </row>
    <row r="88" spans="2:43" x14ac:dyDescent="0.35">
      <c r="C88" s="24"/>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row>
    <row r="89" spans="2:43" x14ac:dyDescent="0.35">
      <c r="C89" s="26" t="str">
        <f ca="1">INDEX('Version control'!$H$38:$H$61,MATCH($A$1,'Version control'!$F$38:$F$61,0),1)&amp;"-C: Grouping of residual bands where a band has insufficient customers"</f>
        <v>Section 116-C: Grouping of residual bands where a band has insufficient customers</v>
      </c>
      <c r="D89" s="26"/>
      <c r="E89" s="26"/>
      <c r="F89" s="26"/>
      <c r="G89" s="26"/>
      <c r="H89" s="26"/>
      <c r="I89" s="26"/>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79"/>
      <c r="AH89" s="179"/>
      <c r="AI89" s="179"/>
      <c r="AJ89" s="179"/>
      <c r="AK89" s="179"/>
      <c r="AL89" s="179"/>
      <c r="AM89" s="179"/>
      <c r="AN89" s="179"/>
      <c r="AO89" s="179"/>
    </row>
    <row r="90" spans="2:43" x14ac:dyDescent="0.35">
      <c r="C90" s="24"/>
      <c r="D90"/>
      <c r="E90"/>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row>
    <row r="91" spans="2:43" x14ac:dyDescent="0.35">
      <c r="C91" s="24"/>
      <c r="D91" s="24" t="s">
        <v>1142</v>
      </c>
      <c r="E91"/>
      <c r="I91" t="s">
        <v>154</v>
      </c>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Q91" t="s">
        <v>1140</v>
      </c>
    </row>
    <row r="92" spans="2:43" x14ac:dyDescent="0.35">
      <c r="C92" s="24"/>
      <c r="D92" s="24" t="s">
        <v>1118</v>
      </c>
      <c r="E92"/>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c r="AG92" s="153"/>
      <c r="AH92" s="153"/>
      <c r="AI92" s="153"/>
      <c r="AJ92" s="153"/>
      <c r="AK92" s="153"/>
      <c r="AL92" s="153"/>
      <c r="AM92" s="153"/>
      <c r="AN92" s="153"/>
      <c r="AO92" s="153"/>
    </row>
    <row r="93" spans="2:43" x14ac:dyDescent="0.35">
      <c r="C93" s="24"/>
      <c r="D93"/>
      <c r="E9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row>
    <row r="94" spans="2:43" x14ac:dyDescent="0.35">
      <c r="C94" s="24"/>
      <c r="D94"/>
      <c r="E94" s="27" t="s">
        <v>1026</v>
      </c>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153"/>
      <c r="AJ94" s="153"/>
      <c r="AK94" s="153"/>
      <c r="AL94" s="153"/>
      <c r="AM94" s="153"/>
      <c r="AN94" s="153"/>
      <c r="AO94" s="153"/>
    </row>
    <row r="95" spans="2:43" x14ac:dyDescent="0.35">
      <c r="C95" s="24"/>
      <c r="D95"/>
      <c r="E95"/>
      <c r="F95" s="19" t="s">
        <v>993</v>
      </c>
      <c r="G95" s="19" t="s">
        <v>149</v>
      </c>
      <c r="H95" s="19"/>
      <c r="I95" s="19"/>
      <c r="J95" s="342">
        <f>'Fixed inputs'!J177</f>
        <v>1</v>
      </c>
      <c r="K95" s="343"/>
      <c r="L95" s="343"/>
      <c r="M95" s="342">
        <f>'Fixed inputs'!M177</f>
        <v>1</v>
      </c>
      <c r="N95" s="342">
        <f>'Fixed inputs'!N177</f>
        <v>2</v>
      </c>
      <c r="O95" s="342">
        <f>'Fixed inputs'!O177</f>
        <v>3</v>
      </c>
      <c r="P95" s="342">
        <f>'Fixed inputs'!P177</f>
        <v>4</v>
      </c>
      <c r="Q95" s="343"/>
      <c r="R95" s="343"/>
      <c r="S95" s="342">
        <f>'Fixed inputs'!S177</f>
        <v>1</v>
      </c>
      <c r="T95" s="342">
        <f>'Fixed inputs'!T177</f>
        <v>2</v>
      </c>
      <c r="U95" s="342">
        <f>'Fixed inputs'!U177</f>
        <v>3</v>
      </c>
      <c r="V95" s="342">
        <f>'Fixed inputs'!V177</f>
        <v>4</v>
      </c>
      <c r="W95" s="343"/>
      <c r="X95" s="342">
        <f>'Fixed inputs'!X177</f>
        <v>1</v>
      </c>
      <c r="Y95" s="342">
        <f>'Fixed inputs'!Y177</f>
        <v>2</v>
      </c>
      <c r="Z95" s="342">
        <f>'Fixed inputs'!Z177</f>
        <v>3</v>
      </c>
      <c r="AA95" s="342">
        <f>'Fixed inputs'!AA177</f>
        <v>4</v>
      </c>
      <c r="AB95" s="343"/>
      <c r="AC95" s="342">
        <f>'Fixed inputs'!AC177</f>
        <v>1</v>
      </c>
      <c r="AD95" s="342">
        <f>'Fixed inputs'!AD177</f>
        <v>2</v>
      </c>
      <c r="AE95" s="342">
        <f>'Fixed inputs'!AE177</f>
        <v>3</v>
      </c>
      <c r="AF95" s="342">
        <f>'Fixed inputs'!AF177</f>
        <v>4</v>
      </c>
      <c r="AG95" s="342">
        <f>'Fixed inputs'!AG177</f>
        <v>1</v>
      </c>
      <c r="AH95" s="343"/>
      <c r="AI95" s="343"/>
      <c r="AJ95" s="343"/>
      <c r="AK95" s="343"/>
      <c r="AL95" s="343"/>
      <c r="AM95" s="343"/>
      <c r="AN95" s="343"/>
      <c r="AO95" s="343"/>
    </row>
    <row r="96" spans="2:43" x14ac:dyDescent="0.35">
      <c r="C96" s="24"/>
      <c r="D96"/>
      <c r="E96"/>
      <c r="F96" t="s">
        <v>994</v>
      </c>
      <c r="G96" t="s">
        <v>149</v>
      </c>
      <c r="J96" s="338">
        <f>'Fixed inputs'!J178</f>
        <v>1</v>
      </c>
      <c r="K96" s="339"/>
      <c r="L96" s="339"/>
      <c r="M96" s="338">
        <f>'Fixed inputs'!M178</f>
        <v>1</v>
      </c>
      <c r="N96" s="338">
        <f>'Fixed inputs'!N178</f>
        <v>1</v>
      </c>
      <c r="O96" s="338">
        <f>'Fixed inputs'!O178</f>
        <v>2</v>
      </c>
      <c r="P96" s="338">
        <f>'Fixed inputs'!P178</f>
        <v>3</v>
      </c>
      <c r="Q96" s="339"/>
      <c r="R96" s="339"/>
      <c r="S96" s="338">
        <f>'Fixed inputs'!S178</f>
        <v>1</v>
      </c>
      <c r="T96" s="338">
        <f>'Fixed inputs'!T178</f>
        <v>1</v>
      </c>
      <c r="U96" s="338">
        <f>'Fixed inputs'!U178</f>
        <v>2</v>
      </c>
      <c r="V96" s="338">
        <f>'Fixed inputs'!V178</f>
        <v>3</v>
      </c>
      <c r="W96" s="339"/>
      <c r="X96" s="338">
        <f>'Fixed inputs'!X178</f>
        <v>1</v>
      </c>
      <c r="Y96" s="338">
        <f>'Fixed inputs'!Y178</f>
        <v>1</v>
      </c>
      <c r="Z96" s="338">
        <f>'Fixed inputs'!Z178</f>
        <v>2</v>
      </c>
      <c r="AA96" s="338">
        <f>'Fixed inputs'!AA178</f>
        <v>3</v>
      </c>
      <c r="AB96" s="339"/>
      <c r="AC96" s="338">
        <f>'Fixed inputs'!AC178</f>
        <v>1</v>
      </c>
      <c r="AD96" s="338">
        <f>'Fixed inputs'!AD178</f>
        <v>1</v>
      </c>
      <c r="AE96" s="338">
        <f>'Fixed inputs'!AE178</f>
        <v>2</v>
      </c>
      <c r="AF96" s="338">
        <f>'Fixed inputs'!AF178</f>
        <v>3</v>
      </c>
      <c r="AG96" s="338">
        <f>'Fixed inputs'!AG178</f>
        <v>1</v>
      </c>
      <c r="AH96" s="339"/>
      <c r="AI96" s="339"/>
      <c r="AJ96" s="339"/>
      <c r="AK96" s="339"/>
      <c r="AL96" s="339"/>
      <c r="AM96" s="339"/>
      <c r="AN96" s="339"/>
      <c r="AO96" s="339"/>
    </row>
    <row r="97" spans="3:41" x14ac:dyDescent="0.35">
      <c r="C97" s="24"/>
      <c r="D97"/>
      <c r="E97"/>
      <c r="F97" t="s">
        <v>995</v>
      </c>
      <c r="G97" t="s">
        <v>149</v>
      </c>
      <c r="J97" s="338">
        <f>'Fixed inputs'!J179</f>
        <v>1</v>
      </c>
      <c r="K97" s="339"/>
      <c r="L97" s="339"/>
      <c r="M97" s="338">
        <f>'Fixed inputs'!M179</f>
        <v>1</v>
      </c>
      <c r="N97" s="338">
        <f>'Fixed inputs'!N179</f>
        <v>2</v>
      </c>
      <c r="O97" s="338">
        <f>'Fixed inputs'!O179</f>
        <v>2</v>
      </c>
      <c r="P97" s="338">
        <f>'Fixed inputs'!P179</f>
        <v>3</v>
      </c>
      <c r="Q97" s="339"/>
      <c r="R97" s="339"/>
      <c r="S97" s="338">
        <f>'Fixed inputs'!S179</f>
        <v>1</v>
      </c>
      <c r="T97" s="338">
        <f>'Fixed inputs'!T179</f>
        <v>2</v>
      </c>
      <c r="U97" s="338">
        <f>'Fixed inputs'!U179</f>
        <v>2</v>
      </c>
      <c r="V97" s="338">
        <f>'Fixed inputs'!V179</f>
        <v>3</v>
      </c>
      <c r="W97" s="339"/>
      <c r="X97" s="338">
        <f>'Fixed inputs'!X179</f>
        <v>1</v>
      </c>
      <c r="Y97" s="338">
        <f>'Fixed inputs'!Y179</f>
        <v>2</v>
      </c>
      <c r="Z97" s="338">
        <f>'Fixed inputs'!Z179</f>
        <v>2</v>
      </c>
      <c r="AA97" s="338">
        <f>'Fixed inputs'!AA179</f>
        <v>3</v>
      </c>
      <c r="AB97" s="339"/>
      <c r="AC97" s="338">
        <f>'Fixed inputs'!AC179</f>
        <v>1</v>
      </c>
      <c r="AD97" s="338">
        <f>'Fixed inputs'!AD179</f>
        <v>2</v>
      </c>
      <c r="AE97" s="338">
        <f>'Fixed inputs'!AE179</f>
        <v>2</v>
      </c>
      <c r="AF97" s="338">
        <f>'Fixed inputs'!AF179</f>
        <v>3</v>
      </c>
      <c r="AG97" s="338">
        <f>'Fixed inputs'!AG179</f>
        <v>1</v>
      </c>
      <c r="AH97" s="339"/>
      <c r="AI97" s="339"/>
      <c r="AJ97" s="339"/>
      <c r="AK97" s="339"/>
      <c r="AL97" s="339"/>
      <c r="AM97" s="339"/>
      <c r="AN97" s="339"/>
      <c r="AO97" s="339"/>
    </row>
    <row r="98" spans="3:41" x14ac:dyDescent="0.35">
      <c r="C98" s="24"/>
      <c r="D98"/>
      <c r="E98"/>
      <c r="F98" t="s">
        <v>996</v>
      </c>
      <c r="G98" t="s">
        <v>149</v>
      </c>
      <c r="J98" s="338">
        <f>'Fixed inputs'!J180</f>
        <v>1</v>
      </c>
      <c r="K98" s="339"/>
      <c r="L98" s="339"/>
      <c r="M98" s="338">
        <f>'Fixed inputs'!M180</f>
        <v>1</v>
      </c>
      <c r="N98" s="338">
        <f>'Fixed inputs'!N180</f>
        <v>2</v>
      </c>
      <c r="O98" s="338">
        <f>'Fixed inputs'!O180</f>
        <v>3</v>
      </c>
      <c r="P98" s="338">
        <f>'Fixed inputs'!P180</f>
        <v>3</v>
      </c>
      <c r="Q98" s="339"/>
      <c r="R98" s="339"/>
      <c r="S98" s="338">
        <f>'Fixed inputs'!S180</f>
        <v>1</v>
      </c>
      <c r="T98" s="338">
        <f>'Fixed inputs'!T180</f>
        <v>2</v>
      </c>
      <c r="U98" s="338">
        <f>'Fixed inputs'!U180</f>
        <v>3</v>
      </c>
      <c r="V98" s="338">
        <f>'Fixed inputs'!V180</f>
        <v>3</v>
      </c>
      <c r="W98" s="339"/>
      <c r="X98" s="338">
        <f>'Fixed inputs'!X180</f>
        <v>1</v>
      </c>
      <c r="Y98" s="338">
        <f>'Fixed inputs'!Y180</f>
        <v>2</v>
      </c>
      <c r="Z98" s="338">
        <f>'Fixed inputs'!Z180</f>
        <v>3</v>
      </c>
      <c r="AA98" s="338">
        <f>'Fixed inputs'!AA180</f>
        <v>3</v>
      </c>
      <c r="AB98" s="339"/>
      <c r="AC98" s="338">
        <f>'Fixed inputs'!AC180</f>
        <v>1</v>
      </c>
      <c r="AD98" s="338">
        <f>'Fixed inputs'!AD180</f>
        <v>2</v>
      </c>
      <c r="AE98" s="338">
        <f>'Fixed inputs'!AE180</f>
        <v>3</v>
      </c>
      <c r="AF98" s="338">
        <f>'Fixed inputs'!AF180</f>
        <v>3</v>
      </c>
      <c r="AG98" s="338">
        <f>'Fixed inputs'!AG180</f>
        <v>1</v>
      </c>
      <c r="AH98" s="339"/>
      <c r="AI98" s="339"/>
      <c r="AJ98" s="339"/>
      <c r="AK98" s="339"/>
      <c r="AL98" s="339"/>
      <c r="AM98" s="339"/>
      <c r="AN98" s="339"/>
      <c r="AO98" s="339"/>
    </row>
    <row r="99" spans="3:41" x14ac:dyDescent="0.35">
      <c r="C99" s="24"/>
      <c r="D99"/>
      <c r="E99"/>
      <c r="F99" t="s">
        <v>997</v>
      </c>
      <c r="G99" t="s">
        <v>149</v>
      </c>
      <c r="J99" s="338">
        <f>'Fixed inputs'!J181</f>
        <v>1</v>
      </c>
      <c r="K99" s="339"/>
      <c r="L99" s="339"/>
      <c r="M99" s="338">
        <f>'Fixed inputs'!M181</f>
        <v>1</v>
      </c>
      <c r="N99" s="338">
        <f>'Fixed inputs'!N181</f>
        <v>1</v>
      </c>
      <c r="O99" s="338">
        <f>'Fixed inputs'!O181</f>
        <v>2</v>
      </c>
      <c r="P99" s="338">
        <f>'Fixed inputs'!P181</f>
        <v>2</v>
      </c>
      <c r="Q99" s="339"/>
      <c r="R99" s="339"/>
      <c r="S99" s="338">
        <f>'Fixed inputs'!S181</f>
        <v>1</v>
      </c>
      <c r="T99" s="338">
        <f>'Fixed inputs'!T181</f>
        <v>1</v>
      </c>
      <c r="U99" s="338">
        <f>'Fixed inputs'!U181</f>
        <v>2</v>
      </c>
      <c r="V99" s="338">
        <f>'Fixed inputs'!V181</f>
        <v>2</v>
      </c>
      <c r="W99" s="339"/>
      <c r="X99" s="338">
        <f>'Fixed inputs'!X181</f>
        <v>1</v>
      </c>
      <c r="Y99" s="338">
        <f>'Fixed inputs'!Y181</f>
        <v>1</v>
      </c>
      <c r="Z99" s="338">
        <f>'Fixed inputs'!Z181</f>
        <v>2</v>
      </c>
      <c r="AA99" s="338">
        <f>'Fixed inputs'!AA181</f>
        <v>2</v>
      </c>
      <c r="AB99" s="339"/>
      <c r="AC99" s="338">
        <f>'Fixed inputs'!AC181</f>
        <v>1</v>
      </c>
      <c r="AD99" s="338">
        <f>'Fixed inputs'!AD181</f>
        <v>1</v>
      </c>
      <c r="AE99" s="338">
        <f>'Fixed inputs'!AE181</f>
        <v>2</v>
      </c>
      <c r="AF99" s="338">
        <f>'Fixed inputs'!AF181</f>
        <v>2</v>
      </c>
      <c r="AG99" s="338">
        <f>'Fixed inputs'!AG181</f>
        <v>1</v>
      </c>
      <c r="AH99" s="339"/>
      <c r="AI99" s="339"/>
      <c r="AJ99" s="339"/>
      <c r="AK99" s="339"/>
      <c r="AL99" s="339"/>
      <c r="AM99" s="339"/>
      <c r="AN99" s="339"/>
      <c r="AO99" s="339"/>
    </row>
    <row r="100" spans="3:41" x14ac:dyDescent="0.35">
      <c r="C100" s="24"/>
      <c r="D100"/>
      <c r="E100"/>
      <c r="F100" t="s">
        <v>998</v>
      </c>
      <c r="G100" t="s">
        <v>149</v>
      </c>
      <c r="J100" s="338">
        <f>'Fixed inputs'!J182</f>
        <v>1</v>
      </c>
      <c r="K100" s="339"/>
      <c r="L100" s="339"/>
      <c r="M100" s="338">
        <f>'Fixed inputs'!M182</f>
        <v>1</v>
      </c>
      <c r="N100" s="338">
        <f>'Fixed inputs'!N182</f>
        <v>1</v>
      </c>
      <c r="O100" s="338">
        <f>'Fixed inputs'!O182</f>
        <v>1</v>
      </c>
      <c r="P100" s="338">
        <f>'Fixed inputs'!P182</f>
        <v>2</v>
      </c>
      <c r="Q100" s="339"/>
      <c r="R100" s="339"/>
      <c r="S100" s="338">
        <f>'Fixed inputs'!S182</f>
        <v>1</v>
      </c>
      <c r="T100" s="338">
        <f>'Fixed inputs'!T182</f>
        <v>1</v>
      </c>
      <c r="U100" s="338">
        <f>'Fixed inputs'!U182</f>
        <v>1</v>
      </c>
      <c r="V100" s="338">
        <f>'Fixed inputs'!V182</f>
        <v>2</v>
      </c>
      <c r="W100" s="339"/>
      <c r="X100" s="338">
        <f>'Fixed inputs'!X182</f>
        <v>1</v>
      </c>
      <c r="Y100" s="338">
        <f>'Fixed inputs'!Y182</f>
        <v>1</v>
      </c>
      <c r="Z100" s="338">
        <f>'Fixed inputs'!Z182</f>
        <v>1</v>
      </c>
      <c r="AA100" s="338">
        <f>'Fixed inputs'!AA182</f>
        <v>2</v>
      </c>
      <c r="AB100" s="339"/>
      <c r="AC100" s="338">
        <f>'Fixed inputs'!AC182</f>
        <v>1</v>
      </c>
      <c r="AD100" s="338">
        <f>'Fixed inputs'!AD182</f>
        <v>1</v>
      </c>
      <c r="AE100" s="338">
        <f>'Fixed inputs'!AE182</f>
        <v>1</v>
      </c>
      <c r="AF100" s="338">
        <f>'Fixed inputs'!AF182</f>
        <v>2</v>
      </c>
      <c r="AG100" s="338">
        <f>'Fixed inputs'!AG182</f>
        <v>1</v>
      </c>
      <c r="AH100" s="339"/>
      <c r="AI100" s="339"/>
      <c r="AJ100" s="339"/>
      <c r="AK100" s="339"/>
      <c r="AL100" s="339"/>
      <c r="AM100" s="339"/>
      <c r="AN100" s="339"/>
      <c r="AO100" s="339"/>
    </row>
    <row r="101" spans="3:41" x14ac:dyDescent="0.35">
      <c r="C101" s="24"/>
      <c r="D101"/>
      <c r="E101"/>
      <c r="F101" t="s">
        <v>999</v>
      </c>
      <c r="G101" t="s">
        <v>149</v>
      </c>
      <c r="J101" s="338">
        <f>'Fixed inputs'!J183</f>
        <v>1</v>
      </c>
      <c r="K101" s="339"/>
      <c r="L101" s="339"/>
      <c r="M101" s="338">
        <f>'Fixed inputs'!M183</f>
        <v>1</v>
      </c>
      <c r="N101" s="338">
        <f>'Fixed inputs'!N183</f>
        <v>2</v>
      </c>
      <c r="O101" s="338">
        <f>'Fixed inputs'!O183</f>
        <v>2</v>
      </c>
      <c r="P101" s="338">
        <f>'Fixed inputs'!P183</f>
        <v>2</v>
      </c>
      <c r="Q101" s="339"/>
      <c r="R101" s="339"/>
      <c r="S101" s="338">
        <f>'Fixed inputs'!S183</f>
        <v>1</v>
      </c>
      <c r="T101" s="338">
        <f>'Fixed inputs'!T183</f>
        <v>2</v>
      </c>
      <c r="U101" s="338">
        <f>'Fixed inputs'!U183</f>
        <v>2</v>
      </c>
      <c r="V101" s="338">
        <f>'Fixed inputs'!V183</f>
        <v>2</v>
      </c>
      <c r="W101" s="339"/>
      <c r="X101" s="338">
        <f>'Fixed inputs'!X183</f>
        <v>1</v>
      </c>
      <c r="Y101" s="338">
        <f>'Fixed inputs'!Y183</f>
        <v>2</v>
      </c>
      <c r="Z101" s="338">
        <f>'Fixed inputs'!Z183</f>
        <v>2</v>
      </c>
      <c r="AA101" s="338">
        <f>'Fixed inputs'!AA183</f>
        <v>2</v>
      </c>
      <c r="AB101" s="339"/>
      <c r="AC101" s="338">
        <f>'Fixed inputs'!AC183</f>
        <v>1</v>
      </c>
      <c r="AD101" s="338">
        <f>'Fixed inputs'!AD183</f>
        <v>2</v>
      </c>
      <c r="AE101" s="338">
        <f>'Fixed inputs'!AE183</f>
        <v>2</v>
      </c>
      <c r="AF101" s="338">
        <f>'Fixed inputs'!AF183</f>
        <v>2</v>
      </c>
      <c r="AG101" s="338">
        <f>'Fixed inputs'!AG183</f>
        <v>1</v>
      </c>
      <c r="AH101" s="339"/>
      <c r="AI101" s="339"/>
      <c r="AJ101" s="339"/>
      <c r="AK101" s="339"/>
      <c r="AL101" s="339"/>
      <c r="AM101" s="339"/>
      <c r="AN101" s="339"/>
      <c r="AO101" s="339"/>
    </row>
    <row r="102" spans="3:41" x14ac:dyDescent="0.35">
      <c r="C102" s="24"/>
      <c r="D102"/>
      <c r="E102"/>
      <c r="F102" s="28" t="s">
        <v>1000</v>
      </c>
      <c r="G102" s="28" t="s">
        <v>149</v>
      </c>
      <c r="H102" s="28"/>
      <c r="I102" s="28"/>
      <c r="J102" s="340">
        <f>'Fixed inputs'!J184</f>
        <v>1</v>
      </c>
      <c r="K102" s="341"/>
      <c r="L102" s="341"/>
      <c r="M102" s="340">
        <f>'Fixed inputs'!M184</f>
        <v>1</v>
      </c>
      <c r="N102" s="340">
        <f>'Fixed inputs'!N184</f>
        <v>1</v>
      </c>
      <c r="O102" s="340">
        <f>'Fixed inputs'!O184</f>
        <v>1</v>
      </c>
      <c r="P102" s="340">
        <f>'Fixed inputs'!P184</f>
        <v>1</v>
      </c>
      <c r="Q102" s="341"/>
      <c r="R102" s="341"/>
      <c r="S102" s="340">
        <f>'Fixed inputs'!S184</f>
        <v>1</v>
      </c>
      <c r="T102" s="340">
        <f>'Fixed inputs'!T184</f>
        <v>1</v>
      </c>
      <c r="U102" s="340">
        <f>'Fixed inputs'!U184</f>
        <v>1</v>
      </c>
      <c r="V102" s="340">
        <f>'Fixed inputs'!V184</f>
        <v>1</v>
      </c>
      <c r="W102" s="341"/>
      <c r="X102" s="340">
        <f>'Fixed inputs'!X184</f>
        <v>1</v>
      </c>
      <c r="Y102" s="340">
        <f>'Fixed inputs'!Y184</f>
        <v>1</v>
      </c>
      <c r="Z102" s="340">
        <f>'Fixed inputs'!Z184</f>
        <v>1</v>
      </c>
      <c r="AA102" s="340">
        <f>'Fixed inputs'!AA184</f>
        <v>1</v>
      </c>
      <c r="AB102" s="341"/>
      <c r="AC102" s="340">
        <f>'Fixed inputs'!AC184</f>
        <v>1</v>
      </c>
      <c r="AD102" s="340">
        <f>'Fixed inputs'!AD184</f>
        <v>1</v>
      </c>
      <c r="AE102" s="340">
        <f>'Fixed inputs'!AE184</f>
        <v>1</v>
      </c>
      <c r="AF102" s="340">
        <f>'Fixed inputs'!AF184</f>
        <v>1</v>
      </c>
      <c r="AG102" s="340">
        <f>'Fixed inputs'!AG184</f>
        <v>1</v>
      </c>
      <c r="AH102" s="341"/>
      <c r="AI102" s="341"/>
      <c r="AJ102" s="341"/>
      <c r="AK102" s="341"/>
      <c r="AL102" s="341"/>
      <c r="AM102" s="341"/>
      <c r="AN102" s="341"/>
      <c r="AO102" s="341"/>
    </row>
    <row r="103" spans="3:41" x14ac:dyDescent="0.35">
      <c r="C103" s="24"/>
      <c r="D103"/>
      <c r="E103"/>
      <c r="J103" s="153"/>
      <c r="K103" s="153"/>
      <c r="L103" s="153"/>
      <c r="M103" s="153"/>
      <c r="N103" s="153"/>
      <c r="O103" s="153"/>
      <c r="P103" s="153"/>
      <c r="Q103" s="153"/>
      <c r="R103" s="153"/>
      <c r="S103" s="153"/>
      <c r="T103" s="153"/>
      <c r="U103" s="153"/>
      <c r="V103" s="153"/>
      <c r="W103" s="153"/>
      <c r="X103" s="153"/>
      <c r="Y103" s="153"/>
      <c r="Z103" s="153"/>
      <c r="AA103" s="153"/>
      <c r="AB103" s="153"/>
      <c r="AC103" s="153"/>
      <c r="AD103" s="153"/>
      <c r="AE103" s="153"/>
      <c r="AF103" s="153"/>
      <c r="AG103" s="153"/>
      <c r="AH103" s="153"/>
      <c r="AI103" s="153"/>
      <c r="AJ103" s="153"/>
      <c r="AK103" s="153"/>
      <c r="AL103" s="153"/>
      <c r="AM103" s="153"/>
      <c r="AN103" s="153"/>
      <c r="AO103" s="153"/>
    </row>
    <row r="104" spans="3:41" x14ac:dyDescent="0.35">
      <c r="C104" s="24"/>
      <c r="D104"/>
      <c r="E104" s="27" t="s">
        <v>1015</v>
      </c>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3"/>
      <c r="AK104" s="153"/>
      <c r="AL104" s="153"/>
      <c r="AM104" s="153"/>
      <c r="AN104" s="153"/>
      <c r="AO104" s="153"/>
    </row>
    <row r="105" spans="3:41" x14ac:dyDescent="0.35">
      <c r="C105" s="24"/>
      <c r="D105"/>
      <c r="E105"/>
      <c r="F105" s="19" t="s">
        <v>993</v>
      </c>
      <c r="G105" s="19" t="s">
        <v>149</v>
      </c>
      <c r="H105" s="19"/>
      <c r="I105" s="19"/>
      <c r="J105" s="344">
        <f>MAX((J$35-1)*MAX($J$36:$AO$36)+J95,0)</f>
        <v>1</v>
      </c>
      <c r="K105" s="343"/>
      <c r="L105" s="343"/>
      <c r="M105" s="344">
        <f t="shared" ref="M105:P112" si="24">MAX((M$35-1)*MAX($J$36:$AO$36)+M95,0)</f>
        <v>5</v>
      </c>
      <c r="N105" s="344">
        <f t="shared" si="24"/>
        <v>6</v>
      </c>
      <c r="O105" s="344">
        <f t="shared" si="24"/>
        <v>7</v>
      </c>
      <c r="P105" s="344">
        <f t="shared" si="24"/>
        <v>8</v>
      </c>
      <c r="Q105" s="343"/>
      <c r="R105" s="343"/>
      <c r="S105" s="344">
        <f t="shared" ref="S105:V105" si="25">MAX((S$35-1)*MAX($J$36:$AO$36)+S95,0)</f>
        <v>9</v>
      </c>
      <c r="T105" s="344">
        <f t="shared" si="25"/>
        <v>10</v>
      </c>
      <c r="U105" s="344">
        <f t="shared" si="25"/>
        <v>11</v>
      </c>
      <c r="V105" s="344">
        <f t="shared" si="25"/>
        <v>12</v>
      </c>
      <c r="W105" s="343"/>
      <c r="X105" s="344">
        <f t="shared" ref="X105:AA105" si="26">MAX((X$35-1)*MAX($J$36:$AO$36)+X95,0)</f>
        <v>9</v>
      </c>
      <c r="Y105" s="344">
        <f t="shared" si="26"/>
        <v>10</v>
      </c>
      <c r="Z105" s="344">
        <f t="shared" si="26"/>
        <v>11</v>
      </c>
      <c r="AA105" s="344">
        <f t="shared" si="26"/>
        <v>12</v>
      </c>
      <c r="AB105" s="343"/>
      <c r="AC105" s="344">
        <f t="shared" ref="AC105:AG105" si="27">MAX((AC$35-1)*MAX($J$36:$AO$36)+AC95,0)</f>
        <v>13</v>
      </c>
      <c r="AD105" s="344">
        <f t="shared" si="27"/>
        <v>14</v>
      </c>
      <c r="AE105" s="344">
        <f t="shared" si="27"/>
        <v>15</v>
      </c>
      <c r="AF105" s="344">
        <f t="shared" si="27"/>
        <v>16</v>
      </c>
      <c r="AG105" s="344">
        <f t="shared" si="27"/>
        <v>17</v>
      </c>
      <c r="AH105" s="343"/>
      <c r="AI105" s="343"/>
      <c r="AJ105" s="343"/>
      <c r="AK105" s="343"/>
      <c r="AL105" s="343"/>
      <c r="AM105" s="343"/>
      <c r="AN105" s="343"/>
      <c r="AO105" s="343"/>
    </row>
    <row r="106" spans="3:41" x14ac:dyDescent="0.35">
      <c r="C106" s="24"/>
      <c r="D106"/>
      <c r="E106"/>
      <c r="F106" t="s">
        <v>994</v>
      </c>
      <c r="G106" t="s">
        <v>149</v>
      </c>
      <c r="J106" s="319">
        <f t="shared" ref="J106:J112" si="28">MAX((J$35-1)*MAX($J$36:$AO$36)+J96,0)</f>
        <v>1</v>
      </c>
      <c r="K106" s="339"/>
      <c r="L106" s="339"/>
      <c r="M106" s="319">
        <f t="shared" si="24"/>
        <v>5</v>
      </c>
      <c r="N106" s="319">
        <f t="shared" si="24"/>
        <v>5</v>
      </c>
      <c r="O106" s="319">
        <f t="shared" si="24"/>
        <v>6</v>
      </c>
      <c r="P106" s="319">
        <f t="shared" si="24"/>
        <v>7</v>
      </c>
      <c r="Q106" s="339"/>
      <c r="R106" s="339"/>
      <c r="S106" s="319">
        <f t="shared" ref="S106:V106" si="29">MAX((S$35-1)*MAX($J$36:$AO$36)+S96,0)</f>
        <v>9</v>
      </c>
      <c r="T106" s="319">
        <f t="shared" si="29"/>
        <v>9</v>
      </c>
      <c r="U106" s="319">
        <f t="shared" si="29"/>
        <v>10</v>
      </c>
      <c r="V106" s="319">
        <f t="shared" si="29"/>
        <v>11</v>
      </c>
      <c r="W106" s="339"/>
      <c r="X106" s="319">
        <f t="shared" ref="X106:AA106" si="30">MAX((X$35-1)*MAX($J$36:$AO$36)+X96,0)</f>
        <v>9</v>
      </c>
      <c r="Y106" s="319">
        <f t="shared" si="30"/>
        <v>9</v>
      </c>
      <c r="Z106" s="319">
        <f t="shared" si="30"/>
        <v>10</v>
      </c>
      <c r="AA106" s="319">
        <f t="shared" si="30"/>
        <v>11</v>
      </c>
      <c r="AB106" s="339"/>
      <c r="AC106" s="319">
        <f t="shared" ref="AC106:AG106" si="31">MAX((AC$35-1)*MAX($J$36:$AO$36)+AC96,0)</f>
        <v>13</v>
      </c>
      <c r="AD106" s="319">
        <f t="shared" si="31"/>
        <v>13</v>
      </c>
      <c r="AE106" s="319">
        <f t="shared" si="31"/>
        <v>14</v>
      </c>
      <c r="AF106" s="319">
        <f t="shared" si="31"/>
        <v>15</v>
      </c>
      <c r="AG106" s="319">
        <f t="shared" si="31"/>
        <v>17</v>
      </c>
      <c r="AH106" s="339"/>
      <c r="AI106" s="339"/>
      <c r="AJ106" s="339"/>
      <c r="AK106" s="339"/>
      <c r="AL106" s="339"/>
      <c r="AM106" s="339"/>
      <c r="AN106" s="339"/>
      <c r="AO106" s="339"/>
    </row>
    <row r="107" spans="3:41" x14ac:dyDescent="0.35">
      <c r="C107" s="24"/>
      <c r="D107"/>
      <c r="E107"/>
      <c r="F107" t="s">
        <v>995</v>
      </c>
      <c r="G107" t="s">
        <v>149</v>
      </c>
      <c r="J107" s="319">
        <f t="shared" si="28"/>
        <v>1</v>
      </c>
      <c r="K107" s="339"/>
      <c r="L107" s="339"/>
      <c r="M107" s="319">
        <f t="shared" si="24"/>
        <v>5</v>
      </c>
      <c r="N107" s="319">
        <f t="shared" si="24"/>
        <v>6</v>
      </c>
      <c r="O107" s="319">
        <f t="shared" si="24"/>
        <v>6</v>
      </c>
      <c r="P107" s="319">
        <f t="shared" si="24"/>
        <v>7</v>
      </c>
      <c r="Q107" s="339"/>
      <c r="R107" s="339"/>
      <c r="S107" s="319">
        <f t="shared" ref="S107:V107" si="32">MAX((S$35-1)*MAX($J$36:$AO$36)+S97,0)</f>
        <v>9</v>
      </c>
      <c r="T107" s="319">
        <f t="shared" si="32"/>
        <v>10</v>
      </c>
      <c r="U107" s="319">
        <f t="shared" si="32"/>
        <v>10</v>
      </c>
      <c r="V107" s="319">
        <f t="shared" si="32"/>
        <v>11</v>
      </c>
      <c r="W107" s="339"/>
      <c r="X107" s="319">
        <f t="shared" ref="X107:AA107" si="33">MAX((X$35-1)*MAX($J$36:$AO$36)+X97,0)</f>
        <v>9</v>
      </c>
      <c r="Y107" s="319">
        <f t="shared" si="33"/>
        <v>10</v>
      </c>
      <c r="Z107" s="319">
        <f t="shared" si="33"/>
        <v>10</v>
      </c>
      <c r="AA107" s="319">
        <f t="shared" si="33"/>
        <v>11</v>
      </c>
      <c r="AB107" s="339"/>
      <c r="AC107" s="319">
        <f t="shared" ref="AC107:AG107" si="34">MAX((AC$35-1)*MAX($J$36:$AO$36)+AC97,0)</f>
        <v>13</v>
      </c>
      <c r="AD107" s="319">
        <f t="shared" si="34"/>
        <v>14</v>
      </c>
      <c r="AE107" s="319">
        <f t="shared" si="34"/>
        <v>14</v>
      </c>
      <c r="AF107" s="319">
        <f t="shared" si="34"/>
        <v>15</v>
      </c>
      <c r="AG107" s="319">
        <f t="shared" si="34"/>
        <v>17</v>
      </c>
      <c r="AH107" s="339"/>
      <c r="AI107" s="339"/>
      <c r="AJ107" s="339"/>
      <c r="AK107" s="339"/>
      <c r="AL107" s="339"/>
      <c r="AM107" s="339"/>
      <c r="AN107" s="339"/>
      <c r="AO107" s="339"/>
    </row>
    <row r="108" spans="3:41" x14ac:dyDescent="0.35">
      <c r="C108" s="24"/>
      <c r="D108"/>
      <c r="E108"/>
      <c r="F108" t="s">
        <v>996</v>
      </c>
      <c r="G108" t="s">
        <v>149</v>
      </c>
      <c r="J108" s="319">
        <f t="shared" si="28"/>
        <v>1</v>
      </c>
      <c r="K108" s="339"/>
      <c r="L108" s="339"/>
      <c r="M108" s="319">
        <f t="shared" si="24"/>
        <v>5</v>
      </c>
      <c r="N108" s="319">
        <f t="shared" si="24"/>
        <v>6</v>
      </c>
      <c r="O108" s="319">
        <f t="shared" si="24"/>
        <v>7</v>
      </c>
      <c r="P108" s="319">
        <f t="shared" si="24"/>
        <v>7</v>
      </c>
      <c r="Q108" s="339"/>
      <c r="R108" s="339"/>
      <c r="S108" s="319">
        <f t="shared" ref="S108:V108" si="35">MAX((S$35-1)*MAX($J$36:$AO$36)+S98,0)</f>
        <v>9</v>
      </c>
      <c r="T108" s="319">
        <f t="shared" si="35"/>
        <v>10</v>
      </c>
      <c r="U108" s="319">
        <f t="shared" si="35"/>
        <v>11</v>
      </c>
      <c r="V108" s="319">
        <f t="shared" si="35"/>
        <v>11</v>
      </c>
      <c r="W108" s="339"/>
      <c r="X108" s="319">
        <f t="shared" ref="X108:AA108" si="36">MAX((X$35-1)*MAX($J$36:$AO$36)+X98,0)</f>
        <v>9</v>
      </c>
      <c r="Y108" s="319">
        <f t="shared" si="36"/>
        <v>10</v>
      </c>
      <c r="Z108" s="319">
        <f t="shared" si="36"/>
        <v>11</v>
      </c>
      <c r="AA108" s="319">
        <f t="shared" si="36"/>
        <v>11</v>
      </c>
      <c r="AB108" s="339"/>
      <c r="AC108" s="319">
        <f t="shared" ref="AC108:AG108" si="37">MAX((AC$35-1)*MAX($J$36:$AO$36)+AC98,0)</f>
        <v>13</v>
      </c>
      <c r="AD108" s="319">
        <f t="shared" si="37"/>
        <v>14</v>
      </c>
      <c r="AE108" s="319">
        <f t="shared" si="37"/>
        <v>15</v>
      </c>
      <c r="AF108" s="319">
        <f t="shared" si="37"/>
        <v>15</v>
      </c>
      <c r="AG108" s="319">
        <f t="shared" si="37"/>
        <v>17</v>
      </c>
      <c r="AH108" s="339"/>
      <c r="AI108" s="339"/>
      <c r="AJ108" s="339"/>
      <c r="AK108" s="339"/>
      <c r="AL108" s="339"/>
      <c r="AM108" s="339"/>
      <c r="AN108" s="339"/>
      <c r="AO108" s="339"/>
    </row>
    <row r="109" spans="3:41" x14ac:dyDescent="0.35">
      <c r="C109" s="24"/>
      <c r="D109"/>
      <c r="E109"/>
      <c r="F109" t="s">
        <v>997</v>
      </c>
      <c r="G109" t="s">
        <v>149</v>
      </c>
      <c r="J109" s="319">
        <f t="shared" si="28"/>
        <v>1</v>
      </c>
      <c r="K109" s="339"/>
      <c r="L109" s="339"/>
      <c r="M109" s="319">
        <f t="shared" si="24"/>
        <v>5</v>
      </c>
      <c r="N109" s="319">
        <f t="shared" si="24"/>
        <v>5</v>
      </c>
      <c r="O109" s="319">
        <f t="shared" si="24"/>
        <v>6</v>
      </c>
      <c r="P109" s="319">
        <f t="shared" si="24"/>
        <v>6</v>
      </c>
      <c r="Q109" s="339"/>
      <c r="R109" s="339"/>
      <c r="S109" s="319">
        <f t="shared" ref="S109:V109" si="38">MAX((S$35-1)*MAX($J$36:$AO$36)+S99,0)</f>
        <v>9</v>
      </c>
      <c r="T109" s="319">
        <f t="shared" si="38"/>
        <v>9</v>
      </c>
      <c r="U109" s="319">
        <f t="shared" si="38"/>
        <v>10</v>
      </c>
      <c r="V109" s="319">
        <f t="shared" si="38"/>
        <v>10</v>
      </c>
      <c r="W109" s="339"/>
      <c r="X109" s="319">
        <f t="shared" ref="X109:AA109" si="39">MAX((X$35-1)*MAX($J$36:$AO$36)+X99,0)</f>
        <v>9</v>
      </c>
      <c r="Y109" s="319">
        <f t="shared" si="39"/>
        <v>9</v>
      </c>
      <c r="Z109" s="319">
        <f t="shared" si="39"/>
        <v>10</v>
      </c>
      <c r="AA109" s="319">
        <f t="shared" si="39"/>
        <v>10</v>
      </c>
      <c r="AB109" s="339"/>
      <c r="AC109" s="319">
        <f t="shared" ref="AC109:AG109" si="40">MAX((AC$35-1)*MAX($J$36:$AO$36)+AC99,0)</f>
        <v>13</v>
      </c>
      <c r="AD109" s="319">
        <f t="shared" si="40"/>
        <v>13</v>
      </c>
      <c r="AE109" s="319">
        <f t="shared" si="40"/>
        <v>14</v>
      </c>
      <c r="AF109" s="319">
        <f t="shared" si="40"/>
        <v>14</v>
      </c>
      <c r="AG109" s="319">
        <f t="shared" si="40"/>
        <v>17</v>
      </c>
      <c r="AH109" s="339"/>
      <c r="AI109" s="339"/>
      <c r="AJ109" s="339"/>
      <c r="AK109" s="339"/>
      <c r="AL109" s="339"/>
      <c r="AM109" s="339"/>
      <c r="AN109" s="339"/>
      <c r="AO109" s="339"/>
    </row>
    <row r="110" spans="3:41" x14ac:dyDescent="0.35">
      <c r="C110" s="24"/>
      <c r="D110"/>
      <c r="E110"/>
      <c r="F110" t="s">
        <v>998</v>
      </c>
      <c r="G110" t="s">
        <v>149</v>
      </c>
      <c r="J110" s="319">
        <f t="shared" si="28"/>
        <v>1</v>
      </c>
      <c r="K110" s="339"/>
      <c r="L110" s="339"/>
      <c r="M110" s="319">
        <f t="shared" si="24"/>
        <v>5</v>
      </c>
      <c r="N110" s="319">
        <f t="shared" si="24"/>
        <v>5</v>
      </c>
      <c r="O110" s="319">
        <f t="shared" si="24"/>
        <v>5</v>
      </c>
      <c r="P110" s="319">
        <f t="shared" si="24"/>
        <v>6</v>
      </c>
      <c r="Q110" s="339"/>
      <c r="R110" s="339"/>
      <c r="S110" s="319">
        <f t="shared" ref="S110:V110" si="41">MAX((S$35-1)*MAX($J$36:$AO$36)+S100,0)</f>
        <v>9</v>
      </c>
      <c r="T110" s="319">
        <f t="shared" si="41"/>
        <v>9</v>
      </c>
      <c r="U110" s="319">
        <f t="shared" si="41"/>
        <v>9</v>
      </c>
      <c r="V110" s="319">
        <f t="shared" si="41"/>
        <v>10</v>
      </c>
      <c r="W110" s="339"/>
      <c r="X110" s="319">
        <f t="shared" ref="X110:AA110" si="42">MAX((X$35-1)*MAX($J$36:$AO$36)+X100,0)</f>
        <v>9</v>
      </c>
      <c r="Y110" s="319">
        <f t="shared" si="42"/>
        <v>9</v>
      </c>
      <c r="Z110" s="319">
        <f t="shared" si="42"/>
        <v>9</v>
      </c>
      <c r="AA110" s="319">
        <f t="shared" si="42"/>
        <v>10</v>
      </c>
      <c r="AB110" s="339"/>
      <c r="AC110" s="319">
        <f t="shared" ref="AC110:AG110" si="43">MAX((AC$35-1)*MAX($J$36:$AO$36)+AC100,0)</f>
        <v>13</v>
      </c>
      <c r="AD110" s="319">
        <f t="shared" si="43"/>
        <v>13</v>
      </c>
      <c r="AE110" s="319">
        <f t="shared" si="43"/>
        <v>13</v>
      </c>
      <c r="AF110" s="319">
        <f t="shared" si="43"/>
        <v>14</v>
      </c>
      <c r="AG110" s="319">
        <f t="shared" si="43"/>
        <v>17</v>
      </c>
      <c r="AH110" s="339"/>
      <c r="AI110" s="339"/>
      <c r="AJ110" s="339"/>
      <c r="AK110" s="339"/>
      <c r="AL110" s="339"/>
      <c r="AM110" s="339"/>
      <c r="AN110" s="339"/>
      <c r="AO110" s="339"/>
    </row>
    <row r="111" spans="3:41" x14ac:dyDescent="0.35">
      <c r="C111" s="24"/>
      <c r="D111"/>
      <c r="E111"/>
      <c r="F111" t="s">
        <v>999</v>
      </c>
      <c r="G111" t="s">
        <v>149</v>
      </c>
      <c r="J111" s="319">
        <f t="shared" si="28"/>
        <v>1</v>
      </c>
      <c r="K111" s="339"/>
      <c r="L111" s="339"/>
      <c r="M111" s="319">
        <f t="shared" si="24"/>
        <v>5</v>
      </c>
      <c r="N111" s="319">
        <f t="shared" si="24"/>
        <v>6</v>
      </c>
      <c r="O111" s="319">
        <f t="shared" si="24"/>
        <v>6</v>
      </c>
      <c r="P111" s="319">
        <f t="shared" si="24"/>
        <v>6</v>
      </c>
      <c r="Q111" s="339"/>
      <c r="R111" s="339"/>
      <c r="S111" s="319">
        <f t="shared" ref="S111:V111" si="44">MAX((S$35-1)*MAX($J$36:$AO$36)+S101,0)</f>
        <v>9</v>
      </c>
      <c r="T111" s="319">
        <f t="shared" si="44"/>
        <v>10</v>
      </c>
      <c r="U111" s="319">
        <f t="shared" si="44"/>
        <v>10</v>
      </c>
      <c r="V111" s="319">
        <f t="shared" si="44"/>
        <v>10</v>
      </c>
      <c r="W111" s="339"/>
      <c r="X111" s="319">
        <f t="shared" ref="X111:AA111" si="45">MAX((X$35-1)*MAX($J$36:$AO$36)+X101,0)</f>
        <v>9</v>
      </c>
      <c r="Y111" s="319">
        <f t="shared" si="45"/>
        <v>10</v>
      </c>
      <c r="Z111" s="319">
        <f t="shared" si="45"/>
        <v>10</v>
      </c>
      <c r="AA111" s="319">
        <f t="shared" si="45"/>
        <v>10</v>
      </c>
      <c r="AB111" s="339"/>
      <c r="AC111" s="319">
        <f t="shared" ref="AC111:AG111" si="46">MAX((AC$35-1)*MAX($J$36:$AO$36)+AC101,0)</f>
        <v>13</v>
      </c>
      <c r="AD111" s="319">
        <f t="shared" si="46"/>
        <v>14</v>
      </c>
      <c r="AE111" s="319">
        <f t="shared" si="46"/>
        <v>14</v>
      </c>
      <c r="AF111" s="319">
        <f t="shared" si="46"/>
        <v>14</v>
      </c>
      <c r="AG111" s="319">
        <f t="shared" si="46"/>
        <v>17</v>
      </c>
      <c r="AH111" s="339"/>
      <c r="AI111" s="339"/>
      <c r="AJ111" s="339"/>
      <c r="AK111" s="339"/>
      <c r="AL111" s="339"/>
      <c r="AM111" s="339"/>
      <c r="AN111" s="339"/>
      <c r="AO111" s="339"/>
    </row>
    <row r="112" spans="3:41" x14ac:dyDescent="0.35">
      <c r="C112" s="24"/>
      <c r="D112"/>
      <c r="E112"/>
      <c r="F112" s="28" t="s">
        <v>1000</v>
      </c>
      <c r="G112" s="28" t="s">
        <v>149</v>
      </c>
      <c r="H112" s="28"/>
      <c r="I112" s="28"/>
      <c r="J112" s="345">
        <f t="shared" si="28"/>
        <v>1</v>
      </c>
      <c r="K112" s="341"/>
      <c r="L112" s="341"/>
      <c r="M112" s="345">
        <f t="shared" si="24"/>
        <v>5</v>
      </c>
      <c r="N112" s="345">
        <f t="shared" si="24"/>
        <v>5</v>
      </c>
      <c r="O112" s="345">
        <f t="shared" si="24"/>
        <v>5</v>
      </c>
      <c r="P112" s="345">
        <f t="shared" si="24"/>
        <v>5</v>
      </c>
      <c r="Q112" s="341"/>
      <c r="R112" s="341"/>
      <c r="S112" s="345">
        <f t="shared" ref="S112:V112" si="47">MAX((S$35-1)*MAX($J$36:$AO$36)+S102,0)</f>
        <v>9</v>
      </c>
      <c r="T112" s="345">
        <f t="shared" si="47"/>
        <v>9</v>
      </c>
      <c r="U112" s="345">
        <f t="shared" si="47"/>
        <v>9</v>
      </c>
      <c r="V112" s="345">
        <f t="shared" si="47"/>
        <v>9</v>
      </c>
      <c r="W112" s="341"/>
      <c r="X112" s="345">
        <f t="shared" ref="X112:AA112" si="48">MAX((X$35-1)*MAX($J$36:$AO$36)+X102,0)</f>
        <v>9</v>
      </c>
      <c r="Y112" s="345">
        <f t="shared" si="48"/>
        <v>9</v>
      </c>
      <c r="Z112" s="345">
        <f t="shared" si="48"/>
        <v>9</v>
      </c>
      <c r="AA112" s="345">
        <f t="shared" si="48"/>
        <v>9</v>
      </c>
      <c r="AB112" s="341"/>
      <c r="AC112" s="345">
        <f t="shared" ref="AC112:AG112" si="49">MAX((AC$35-1)*MAX($J$36:$AO$36)+AC102,0)</f>
        <v>13</v>
      </c>
      <c r="AD112" s="345">
        <f t="shared" si="49"/>
        <v>13</v>
      </c>
      <c r="AE112" s="345">
        <f t="shared" si="49"/>
        <v>13</v>
      </c>
      <c r="AF112" s="345">
        <f t="shared" si="49"/>
        <v>13</v>
      </c>
      <c r="AG112" s="345">
        <f t="shared" si="49"/>
        <v>17</v>
      </c>
      <c r="AH112" s="341"/>
      <c r="AI112" s="341"/>
      <c r="AJ112" s="341"/>
      <c r="AK112" s="341"/>
      <c r="AL112" s="341"/>
      <c r="AM112" s="341"/>
      <c r="AN112" s="341"/>
      <c r="AO112" s="341"/>
    </row>
    <row r="113" spans="3:41" x14ac:dyDescent="0.35">
      <c r="C113" s="24"/>
      <c r="D113"/>
      <c r="E11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3"/>
      <c r="AF113" s="153"/>
      <c r="AG113" s="153"/>
      <c r="AH113" s="153"/>
      <c r="AI113" s="153"/>
      <c r="AJ113" s="153"/>
      <c r="AK113" s="153"/>
      <c r="AL113" s="153"/>
      <c r="AM113" s="153"/>
      <c r="AN113" s="153"/>
      <c r="AO113" s="153"/>
    </row>
    <row r="114" spans="3:41" x14ac:dyDescent="0.35">
      <c r="C114" s="24"/>
      <c r="D114"/>
      <c r="E114" s="27" t="s">
        <v>1016</v>
      </c>
      <c r="J114" s="153"/>
      <c r="K114" s="153"/>
      <c r="L114" s="153"/>
      <c r="M114" s="153"/>
      <c r="N114" s="153"/>
      <c r="O114" s="153"/>
      <c r="P114" s="153"/>
      <c r="Q114" s="153"/>
      <c r="R114" s="153"/>
      <c r="S114" s="153"/>
      <c r="T114" s="153"/>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row>
    <row r="115" spans="3:41" x14ac:dyDescent="0.35">
      <c r="C115" s="24"/>
      <c r="D115"/>
      <c r="E115"/>
      <c r="F115" s="19" t="s">
        <v>993</v>
      </c>
      <c r="G115" s="19" t="s">
        <v>212</v>
      </c>
      <c r="H115" s="19"/>
      <c r="I115" s="19"/>
      <c r="J115" s="344">
        <f t="shared" ref="J115:J122" si="50">SUMIF($J105:$AO105, J105, $J$56:$AO$56)</f>
        <v>2963525.8662584159</v>
      </c>
      <c r="K115" s="343"/>
      <c r="L115" s="343"/>
      <c r="M115" s="344">
        <f t="shared" ref="M115:P122" si="51">SUMIF($J105:$AO105, M105, $J$56:$AO$56)</f>
        <v>90865.523119522884</v>
      </c>
      <c r="N115" s="344">
        <f t="shared" si="51"/>
        <v>68645.571071950631</v>
      </c>
      <c r="O115" s="344">
        <f t="shared" si="51"/>
        <v>35687.206127422673</v>
      </c>
      <c r="P115" s="344">
        <f t="shared" si="51"/>
        <v>34298.531030187536</v>
      </c>
      <c r="Q115" s="343"/>
      <c r="R115" s="343"/>
      <c r="S115" s="344">
        <f t="shared" ref="S115:V122" si="52">SUMIF($J105:$AO105, S105, $J$56:$AO$56)</f>
        <v>10417.356462216107</v>
      </c>
      <c r="T115" s="344">
        <f t="shared" si="52"/>
        <v>6160.2941149071003</v>
      </c>
      <c r="U115" s="344">
        <f t="shared" si="52"/>
        <v>2984.4743407312453</v>
      </c>
      <c r="V115" s="344">
        <f t="shared" si="52"/>
        <v>4168.9984347963637</v>
      </c>
      <c r="W115" s="343"/>
      <c r="X115" s="344">
        <f t="shared" ref="X115:AA122" si="53">SUMIF($J105:$AO105, X105, $J$56:$AO$56)</f>
        <v>10417.356462216107</v>
      </c>
      <c r="Y115" s="344">
        <f t="shared" si="53"/>
        <v>6160.2941149071003</v>
      </c>
      <c r="Z115" s="344">
        <f t="shared" si="53"/>
        <v>2984.4743407312453</v>
      </c>
      <c r="AA115" s="344">
        <f t="shared" si="53"/>
        <v>4168.9984347963637</v>
      </c>
      <c r="AB115" s="343"/>
      <c r="AC115" s="344">
        <f t="shared" ref="AC115:AG122" si="54">SUMIF($J105:$AO105, AC105, $J$56:$AO$56)</f>
        <v>483.92215384591685</v>
      </c>
      <c r="AD115" s="344">
        <f t="shared" si="54"/>
        <v>697.58818327134566</v>
      </c>
      <c r="AE115" s="344">
        <f t="shared" si="54"/>
        <v>279.74459135180666</v>
      </c>
      <c r="AF115" s="344">
        <f t="shared" si="54"/>
        <v>315.87508664769206</v>
      </c>
      <c r="AG115" s="344">
        <f t="shared" si="54"/>
        <v>4144.2452439404015</v>
      </c>
      <c r="AH115" s="343"/>
      <c r="AI115" s="343"/>
      <c r="AJ115" s="343"/>
      <c r="AK115" s="343"/>
      <c r="AL115" s="343"/>
      <c r="AM115" s="343"/>
      <c r="AN115" s="343"/>
      <c r="AO115" s="343"/>
    </row>
    <row r="116" spans="3:41" x14ac:dyDescent="0.35">
      <c r="C116" s="24"/>
      <c r="D116"/>
      <c r="E116"/>
      <c r="F116" t="s">
        <v>994</v>
      </c>
      <c r="G116" t="s">
        <v>212</v>
      </c>
      <c r="J116" s="319">
        <f t="shared" si="50"/>
        <v>2963525.8662584159</v>
      </c>
      <c r="K116" s="339"/>
      <c r="L116" s="339"/>
      <c r="M116" s="319">
        <f t="shared" si="51"/>
        <v>159511.0941914735</v>
      </c>
      <c r="N116" s="319">
        <f t="shared" si="51"/>
        <v>159511.0941914735</v>
      </c>
      <c r="O116" s="319">
        <f t="shared" si="51"/>
        <v>35687.206127422673</v>
      </c>
      <c r="P116" s="319">
        <f t="shared" si="51"/>
        <v>34298.531030187536</v>
      </c>
      <c r="Q116" s="339"/>
      <c r="R116" s="339"/>
      <c r="S116" s="319">
        <f t="shared" si="52"/>
        <v>16577.650577123208</v>
      </c>
      <c r="T116" s="319">
        <f t="shared" si="52"/>
        <v>16577.650577123208</v>
      </c>
      <c r="U116" s="319">
        <f t="shared" si="52"/>
        <v>2984.4743407312453</v>
      </c>
      <c r="V116" s="319">
        <f t="shared" si="52"/>
        <v>4168.9984347963637</v>
      </c>
      <c r="W116" s="339"/>
      <c r="X116" s="319">
        <f t="shared" si="53"/>
        <v>16577.650577123208</v>
      </c>
      <c r="Y116" s="319">
        <f t="shared" si="53"/>
        <v>16577.650577123208</v>
      </c>
      <c r="Z116" s="319">
        <f t="shared" si="53"/>
        <v>2984.4743407312453</v>
      </c>
      <c r="AA116" s="319">
        <f t="shared" si="53"/>
        <v>4168.9984347963637</v>
      </c>
      <c r="AB116" s="339"/>
      <c r="AC116" s="319">
        <f t="shared" si="54"/>
        <v>1181.5103371172625</v>
      </c>
      <c r="AD116" s="319">
        <f t="shared" si="54"/>
        <v>1181.5103371172625</v>
      </c>
      <c r="AE116" s="319">
        <f t="shared" si="54"/>
        <v>279.74459135180666</v>
      </c>
      <c r="AF116" s="319">
        <f t="shared" si="54"/>
        <v>315.87508664769206</v>
      </c>
      <c r="AG116" s="319">
        <f t="shared" si="54"/>
        <v>4144.2452439404015</v>
      </c>
      <c r="AH116" s="339"/>
      <c r="AI116" s="339"/>
      <c r="AJ116" s="339"/>
      <c r="AK116" s="339"/>
      <c r="AL116" s="339"/>
      <c r="AM116" s="339"/>
      <c r="AN116" s="339"/>
      <c r="AO116" s="339"/>
    </row>
    <row r="117" spans="3:41" x14ac:dyDescent="0.35">
      <c r="C117" s="24"/>
      <c r="D117"/>
      <c r="E117"/>
      <c r="F117" t="s">
        <v>995</v>
      </c>
      <c r="G117" t="s">
        <v>212</v>
      </c>
      <c r="J117" s="319">
        <f t="shared" si="50"/>
        <v>2963525.8662584159</v>
      </c>
      <c r="K117" s="339"/>
      <c r="L117" s="339"/>
      <c r="M117" s="319">
        <f t="shared" si="51"/>
        <v>90865.523119522884</v>
      </c>
      <c r="N117" s="319">
        <f t="shared" si="51"/>
        <v>104332.7771993733</v>
      </c>
      <c r="O117" s="319">
        <f t="shared" si="51"/>
        <v>104332.7771993733</v>
      </c>
      <c r="P117" s="319">
        <f t="shared" si="51"/>
        <v>34298.531030187536</v>
      </c>
      <c r="Q117" s="339"/>
      <c r="R117" s="339"/>
      <c r="S117" s="319">
        <f t="shared" si="52"/>
        <v>10417.356462216107</v>
      </c>
      <c r="T117" s="319">
        <f t="shared" si="52"/>
        <v>9144.7684556383447</v>
      </c>
      <c r="U117" s="319">
        <f t="shared" si="52"/>
        <v>9144.7684556383447</v>
      </c>
      <c r="V117" s="319">
        <f t="shared" si="52"/>
        <v>4168.9984347963637</v>
      </c>
      <c r="W117" s="339"/>
      <c r="X117" s="319">
        <f t="shared" si="53"/>
        <v>10417.356462216107</v>
      </c>
      <c r="Y117" s="319">
        <f t="shared" si="53"/>
        <v>9144.7684556383447</v>
      </c>
      <c r="Z117" s="319">
        <f t="shared" si="53"/>
        <v>9144.7684556383447</v>
      </c>
      <c r="AA117" s="319">
        <f t="shared" si="53"/>
        <v>4168.9984347963637</v>
      </c>
      <c r="AB117" s="339"/>
      <c r="AC117" s="319">
        <f t="shared" si="54"/>
        <v>483.92215384591685</v>
      </c>
      <c r="AD117" s="319">
        <f t="shared" si="54"/>
        <v>977.33277462315232</v>
      </c>
      <c r="AE117" s="319">
        <f t="shared" si="54"/>
        <v>977.33277462315232</v>
      </c>
      <c r="AF117" s="319">
        <f t="shared" si="54"/>
        <v>315.87508664769206</v>
      </c>
      <c r="AG117" s="319">
        <f t="shared" si="54"/>
        <v>4144.2452439404015</v>
      </c>
      <c r="AH117" s="339"/>
      <c r="AI117" s="339"/>
      <c r="AJ117" s="339"/>
      <c r="AK117" s="339"/>
      <c r="AL117" s="339"/>
      <c r="AM117" s="339"/>
      <c r="AN117" s="339"/>
      <c r="AO117" s="339"/>
    </row>
    <row r="118" spans="3:41" x14ac:dyDescent="0.35">
      <c r="C118" s="24"/>
      <c r="D118"/>
      <c r="E118"/>
      <c r="F118" t="s">
        <v>996</v>
      </c>
      <c r="G118" t="s">
        <v>212</v>
      </c>
      <c r="J118" s="319">
        <f t="shared" si="50"/>
        <v>2963525.8662584159</v>
      </c>
      <c r="K118" s="339"/>
      <c r="L118" s="339"/>
      <c r="M118" s="319">
        <f t="shared" si="51"/>
        <v>90865.523119522884</v>
      </c>
      <c r="N118" s="319">
        <f t="shared" si="51"/>
        <v>68645.571071950631</v>
      </c>
      <c r="O118" s="319">
        <f t="shared" si="51"/>
        <v>69985.737157610216</v>
      </c>
      <c r="P118" s="319">
        <f t="shared" si="51"/>
        <v>69985.737157610216</v>
      </c>
      <c r="Q118" s="339"/>
      <c r="R118" s="339"/>
      <c r="S118" s="319">
        <f t="shared" si="52"/>
        <v>10417.356462216107</v>
      </c>
      <c r="T118" s="319">
        <f t="shared" si="52"/>
        <v>6160.2941149071003</v>
      </c>
      <c r="U118" s="319">
        <f t="shared" si="52"/>
        <v>7153.472775527609</v>
      </c>
      <c r="V118" s="319">
        <f t="shared" si="52"/>
        <v>7153.472775527609</v>
      </c>
      <c r="W118" s="339"/>
      <c r="X118" s="319">
        <f t="shared" si="53"/>
        <v>10417.356462216107</v>
      </c>
      <c r="Y118" s="319">
        <f t="shared" si="53"/>
        <v>6160.2941149071003</v>
      </c>
      <c r="Z118" s="319">
        <f t="shared" si="53"/>
        <v>7153.472775527609</v>
      </c>
      <c r="AA118" s="319">
        <f t="shared" si="53"/>
        <v>7153.472775527609</v>
      </c>
      <c r="AB118" s="339"/>
      <c r="AC118" s="319">
        <f t="shared" si="54"/>
        <v>483.92215384591685</v>
      </c>
      <c r="AD118" s="319">
        <f t="shared" si="54"/>
        <v>697.58818327134566</v>
      </c>
      <c r="AE118" s="319">
        <f t="shared" si="54"/>
        <v>595.61967799949866</v>
      </c>
      <c r="AF118" s="319">
        <f t="shared" si="54"/>
        <v>595.61967799949866</v>
      </c>
      <c r="AG118" s="319">
        <f t="shared" si="54"/>
        <v>4144.2452439404015</v>
      </c>
      <c r="AH118" s="339"/>
      <c r="AI118" s="339"/>
      <c r="AJ118" s="339"/>
      <c r="AK118" s="339"/>
      <c r="AL118" s="339"/>
      <c r="AM118" s="339"/>
      <c r="AN118" s="339"/>
      <c r="AO118" s="339"/>
    </row>
    <row r="119" spans="3:41" x14ac:dyDescent="0.35">
      <c r="C119" s="24"/>
      <c r="D119"/>
      <c r="E119"/>
      <c r="F119" t="s">
        <v>997</v>
      </c>
      <c r="G119" t="s">
        <v>212</v>
      </c>
      <c r="J119" s="319">
        <f t="shared" si="50"/>
        <v>2963525.8662584159</v>
      </c>
      <c r="K119" s="339"/>
      <c r="L119" s="339"/>
      <c r="M119" s="319">
        <f t="shared" si="51"/>
        <v>159511.0941914735</v>
      </c>
      <c r="N119" s="319">
        <f t="shared" si="51"/>
        <v>159511.0941914735</v>
      </c>
      <c r="O119" s="319">
        <f t="shared" si="51"/>
        <v>69985.737157610216</v>
      </c>
      <c r="P119" s="319">
        <f t="shared" si="51"/>
        <v>69985.737157610216</v>
      </c>
      <c r="Q119" s="339"/>
      <c r="R119" s="339"/>
      <c r="S119" s="319">
        <f t="shared" si="52"/>
        <v>16577.650577123208</v>
      </c>
      <c r="T119" s="319">
        <f t="shared" si="52"/>
        <v>16577.650577123208</v>
      </c>
      <c r="U119" s="319">
        <f t="shared" si="52"/>
        <v>7153.472775527609</v>
      </c>
      <c r="V119" s="319">
        <f t="shared" si="52"/>
        <v>7153.472775527609</v>
      </c>
      <c r="W119" s="339"/>
      <c r="X119" s="319">
        <f t="shared" si="53"/>
        <v>16577.650577123208</v>
      </c>
      <c r="Y119" s="319">
        <f t="shared" si="53"/>
        <v>16577.650577123208</v>
      </c>
      <c r="Z119" s="319">
        <f t="shared" si="53"/>
        <v>7153.472775527609</v>
      </c>
      <c r="AA119" s="319">
        <f t="shared" si="53"/>
        <v>7153.472775527609</v>
      </c>
      <c r="AB119" s="339"/>
      <c r="AC119" s="319">
        <f t="shared" si="54"/>
        <v>1181.5103371172625</v>
      </c>
      <c r="AD119" s="319">
        <f t="shared" si="54"/>
        <v>1181.5103371172625</v>
      </c>
      <c r="AE119" s="319">
        <f t="shared" si="54"/>
        <v>595.61967799949866</v>
      </c>
      <c r="AF119" s="319">
        <f t="shared" si="54"/>
        <v>595.61967799949866</v>
      </c>
      <c r="AG119" s="319">
        <f t="shared" si="54"/>
        <v>4144.2452439404015</v>
      </c>
      <c r="AH119" s="339"/>
      <c r="AI119" s="339"/>
      <c r="AJ119" s="339"/>
      <c r="AK119" s="339"/>
      <c r="AL119" s="339"/>
      <c r="AM119" s="339"/>
      <c r="AN119" s="339"/>
      <c r="AO119" s="339"/>
    </row>
    <row r="120" spans="3:41" x14ac:dyDescent="0.35">
      <c r="C120" s="24"/>
      <c r="D120"/>
      <c r="E120"/>
      <c r="F120" t="s">
        <v>998</v>
      </c>
      <c r="G120" t="s">
        <v>212</v>
      </c>
      <c r="J120" s="319">
        <f t="shared" si="50"/>
        <v>2963525.8662584159</v>
      </c>
      <c r="K120" s="339"/>
      <c r="L120" s="339"/>
      <c r="M120" s="319">
        <f t="shared" si="51"/>
        <v>195198.30031889619</v>
      </c>
      <c r="N120" s="319">
        <f t="shared" si="51"/>
        <v>195198.30031889619</v>
      </c>
      <c r="O120" s="319">
        <f t="shared" si="51"/>
        <v>195198.30031889619</v>
      </c>
      <c r="P120" s="319">
        <f t="shared" si="51"/>
        <v>34298.531030187536</v>
      </c>
      <c r="Q120" s="339"/>
      <c r="R120" s="339"/>
      <c r="S120" s="319">
        <f t="shared" si="52"/>
        <v>19562.124917854453</v>
      </c>
      <c r="T120" s="319">
        <f t="shared" si="52"/>
        <v>19562.124917854453</v>
      </c>
      <c r="U120" s="319">
        <f t="shared" si="52"/>
        <v>19562.124917854453</v>
      </c>
      <c r="V120" s="319">
        <f t="shared" si="52"/>
        <v>4168.9984347963637</v>
      </c>
      <c r="W120" s="339"/>
      <c r="X120" s="319">
        <f t="shared" si="53"/>
        <v>19562.124917854453</v>
      </c>
      <c r="Y120" s="319">
        <f t="shared" si="53"/>
        <v>19562.124917854453</v>
      </c>
      <c r="Z120" s="319">
        <f t="shared" si="53"/>
        <v>19562.124917854453</v>
      </c>
      <c r="AA120" s="319">
        <f t="shared" si="53"/>
        <v>4168.9984347963637</v>
      </c>
      <c r="AB120" s="339"/>
      <c r="AC120" s="319">
        <f t="shared" si="54"/>
        <v>1461.254928469069</v>
      </c>
      <c r="AD120" s="319">
        <f t="shared" si="54"/>
        <v>1461.254928469069</v>
      </c>
      <c r="AE120" s="319">
        <f t="shared" si="54"/>
        <v>1461.254928469069</v>
      </c>
      <c r="AF120" s="319">
        <f t="shared" si="54"/>
        <v>315.87508664769206</v>
      </c>
      <c r="AG120" s="319">
        <f t="shared" si="54"/>
        <v>4144.2452439404015</v>
      </c>
      <c r="AH120" s="339"/>
      <c r="AI120" s="339"/>
      <c r="AJ120" s="339"/>
      <c r="AK120" s="339"/>
      <c r="AL120" s="339"/>
      <c r="AM120" s="339"/>
      <c r="AN120" s="339"/>
      <c r="AO120" s="339"/>
    </row>
    <row r="121" spans="3:41" x14ac:dyDescent="0.35">
      <c r="C121" s="24"/>
      <c r="D121"/>
      <c r="E121"/>
      <c r="F121" t="s">
        <v>999</v>
      </c>
      <c r="G121" t="s">
        <v>212</v>
      </c>
      <c r="J121" s="319">
        <f t="shared" si="50"/>
        <v>2963525.8662584159</v>
      </c>
      <c r="K121" s="339"/>
      <c r="L121" s="339"/>
      <c r="M121" s="319">
        <f t="shared" si="51"/>
        <v>90865.523119522884</v>
      </c>
      <c r="N121" s="319">
        <f t="shared" si="51"/>
        <v>138631.30822956085</v>
      </c>
      <c r="O121" s="319">
        <f t="shared" si="51"/>
        <v>138631.30822956085</v>
      </c>
      <c r="P121" s="319">
        <f t="shared" si="51"/>
        <v>138631.30822956085</v>
      </c>
      <c r="Q121" s="339"/>
      <c r="R121" s="339"/>
      <c r="S121" s="319">
        <f t="shared" si="52"/>
        <v>10417.356462216107</v>
      </c>
      <c r="T121" s="319">
        <f t="shared" si="52"/>
        <v>13313.76689043471</v>
      </c>
      <c r="U121" s="319">
        <f t="shared" si="52"/>
        <v>13313.76689043471</v>
      </c>
      <c r="V121" s="319">
        <f t="shared" si="52"/>
        <v>13313.76689043471</v>
      </c>
      <c r="W121" s="339"/>
      <c r="X121" s="319">
        <f t="shared" si="53"/>
        <v>10417.356462216107</v>
      </c>
      <c r="Y121" s="319">
        <f t="shared" si="53"/>
        <v>13313.76689043471</v>
      </c>
      <c r="Z121" s="319">
        <f t="shared" si="53"/>
        <v>13313.76689043471</v>
      </c>
      <c r="AA121" s="319">
        <f t="shared" si="53"/>
        <v>13313.76689043471</v>
      </c>
      <c r="AB121" s="339"/>
      <c r="AC121" s="319">
        <f t="shared" si="54"/>
        <v>483.92215384591685</v>
      </c>
      <c r="AD121" s="319">
        <f t="shared" si="54"/>
        <v>1293.2078612708444</v>
      </c>
      <c r="AE121" s="319">
        <f t="shared" si="54"/>
        <v>1293.2078612708444</v>
      </c>
      <c r="AF121" s="319">
        <f t="shared" si="54"/>
        <v>1293.2078612708444</v>
      </c>
      <c r="AG121" s="319">
        <f t="shared" si="54"/>
        <v>4144.2452439404015</v>
      </c>
      <c r="AH121" s="339"/>
      <c r="AI121" s="339"/>
      <c r="AJ121" s="339"/>
      <c r="AK121" s="339"/>
      <c r="AL121" s="339"/>
      <c r="AM121" s="339"/>
      <c r="AN121" s="339"/>
      <c r="AO121" s="339"/>
    </row>
    <row r="122" spans="3:41" x14ac:dyDescent="0.35">
      <c r="C122" s="24"/>
      <c r="D122"/>
      <c r="E122"/>
      <c r="F122" s="28" t="s">
        <v>1000</v>
      </c>
      <c r="G122" s="28" t="s">
        <v>212</v>
      </c>
      <c r="H122" s="28"/>
      <c r="I122" s="28"/>
      <c r="J122" s="345">
        <f t="shared" si="50"/>
        <v>2963525.8662584159</v>
      </c>
      <c r="K122" s="341"/>
      <c r="L122" s="341"/>
      <c r="M122" s="345">
        <f t="shared" si="51"/>
        <v>229496.83134908372</v>
      </c>
      <c r="N122" s="345">
        <f t="shared" si="51"/>
        <v>229496.83134908372</v>
      </c>
      <c r="O122" s="345">
        <f t="shared" si="51"/>
        <v>229496.83134908372</v>
      </c>
      <c r="P122" s="345">
        <f t="shared" si="51"/>
        <v>229496.83134908372</v>
      </c>
      <c r="Q122" s="341"/>
      <c r="R122" s="341"/>
      <c r="S122" s="345">
        <f t="shared" si="52"/>
        <v>23731.123352650815</v>
      </c>
      <c r="T122" s="345">
        <f t="shared" si="52"/>
        <v>23731.123352650815</v>
      </c>
      <c r="U122" s="345">
        <f t="shared" si="52"/>
        <v>23731.123352650815</v>
      </c>
      <c r="V122" s="345">
        <f t="shared" si="52"/>
        <v>23731.123352650815</v>
      </c>
      <c r="W122" s="341"/>
      <c r="X122" s="345">
        <f t="shared" si="53"/>
        <v>23731.123352650815</v>
      </c>
      <c r="Y122" s="345">
        <f t="shared" si="53"/>
        <v>23731.123352650815</v>
      </c>
      <c r="Z122" s="345">
        <f t="shared" si="53"/>
        <v>23731.123352650815</v>
      </c>
      <c r="AA122" s="345">
        <f t="shared" si="53"/>
        <v>23731.123352650815</v>
      </c>
      <c r="AB122" s="341"/>
      <c r="AC122" s="345">
        <f t="shared" si="54"/>
        <v>1777.1300151167611</v>
      </c>
      <c r="AD122" s="345">
        <f t="shared" si="54"/>
        <v>1777.1300151167611</v>
      </c>
      <c r="AE122" s="345">
        <f t="shared" si="54"/>
        <v>1777.1300151167611</v>
      </c>
      <c r="AF122" s="345">
        <f t="shared" si="54"/>
        <v>1777.1300151167611</v>
      </c>
      <c r="AG122" s="345">
        <f t="shared" si="54"/>
        <v>4144.2452439404015</v>
      </c>
      <c r="AH122" s="341"/>
      <c r="AI122" s="341"/>
      <c r="AJ122" s="341"/>
      <c r="AK122" s="341"/>
      <c r="AL122" s="341"/>
      <c r="AM122" s="341"/>
      <c r="AN122" s="341"/>
      <c r="AO122" s="341"/>
    </row>
    <row r="123" spans="3:41" x14ac:dyDescent="0.35">
      <c r="C123" s="24"/>
      <c r="D123"/>
      <c r="E123"/>
      <c r="J123" s="153"/>
      <c r="K123" s="153"/>
      <c r="L123" s="153"/>
      <c r="M123" s="153"/>
      <c r="N123" s="153"/>
      <c r="O123" s="153"/>
      <c r="P123" s="153"/>
      <c r="Q123" s="153"/>
      <c r="R123" s="153"/>
      <c r="S123" s="153"/>
      <c r="T123" s="153"/>
      <c r="U123" s="153"/>
      <c r="V123" s="153"/>
      <c r="W123" s="153"/>
      <c r="X123" s="153"/>
      <c r="Y123" s="153"/>
      <c r="Z123" s="153"/>
      <c r="AA123" s="153"/>
      <c r="AB123" s="153"/>
      <c r="AC123" s="153"/>
      <c r="AD123" s="153"/>
      <c r="AE123" s="153"/>
      <c r="AF123" s="153"/>
      <c r="AG123" s="153"/>
      <c r="AH123" s="153"/>
      <c r="AI123" s="153"/>
      <c r="AJ123" s="153"/>
      <c r="AK123" s="153"/>
      <c r="AL123" s="153"/>
      <c r="AM123" s="153"/>
      <c r="AN123" s="153"/>
      <c r="AO123" s="153"/>
    </row>
    <row r="124" spans="3:41" x14ac:dyDescent="0.35">
      <c r="C124" s="24"/>
      <c r="D124"/>
      <c r="E124" t="s">
        <v>1008</v>
      </c>
      <c r="G124" t="s">
        <v>149</v>
      </c>
      <c r="H124" s="41">
        <f>'Fixed inputs'!H172</f>
        <v>2</v>
      </c>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c r="AG124" s="153"/>
      <c r="AH124" s="153"/>
      <c r="AI124" s="153"/>
      <c r="AJ124" s="153"/>
      <c r="AK124" s="153"/>
      <c r="AL124" s="153"/>
      <c r="AM124" s="153"/>
      <c r="AN124" s="153"/>
      <c r="AO124" s="153"/>
    </row>
    <row r="125" spans="3:41" x14ac:dyDescent="0.35">
      <c r="C125" s="24"/>
      <c r="D125"/>
      <c r="E125"/>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153"/>
      <c r="AJ125" s="153"/>
      <c r="AK125" s="153"/>
      <c r="AL125" s="153"/>
      <c r="AM125" s="153"/>
      <c r="AN125" s="153"/>
      <c r="AO125" s="153"/>
    </row>
    <row r="126" spans="3:41" x14ac:dyDescent="0.35">
      <c r="C126" s="24"/>
      <c r="D126"/>
      <c r="E126" s="27" t="s">
        <v>1017</v>
      </c>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c r="AK126" s="153"/>
      <c r="AL126" s="153"/>
      <c r="AM126" s="153"/>
      <c r="AN126" s="153"/>
      <c r="AO126" s="153"/>
    </row>
    <row r="127" spans="3:41" x14ac:dyDescent="0.35">
      <c r="C127" s="24"/>
      <c r="D127"/>
      <c r="E127"/>
      <c r="F127" s="19" t="s">
        <v>993</v>
      </c>
      <c r="G127" s="19" t="s">
        <v>907</v>
      </c>
      <c r="H127" s="19"/>
      <c r="I127" s="19"/>
      <c r="J127" s="344" t="b">
        <f>J115&gt;=$H$124</f>
        <v>1</v>
      </c>
      <c r="K127" s="343"/>
      <c r="L127" s="343"/>
      <c r="M127" s="344" t="b">
        <f t="shared" ref="M127:P127" si="55">M115&gt;=$H$124</f>
        <v>1</v>
      </c>
      <c r="N127" s="344" t="b">
        <f t="shared" si="55"/>
        <v>1</v>
      </c>
      <c r="O127" s="344" t="b">
        <f t="shared" si="55"/>
        <v>1</v>
      </c>
      <c r="P127" s="344" t="b">
        <f t="shared" si="55"/>
        <v>1</v>
      </c>
      <c r="Q127" s="343"/>
      <c r="R127" s="343"/>
      <c r="S127" s="344" t="b">
        <f t="shared" ref="S127:V127" si="56">S115&gt;=$H$124</f>
        <v>1</v>
      </c>
      <c r="T127" s="344" t="b">
        <f t="shared" si="56"/>
        <v>1</v>
      </c>
      <c r="U127" s="344" t="b">
        <f t="shared" si="56"/>
        <v>1</v>
      </c>
      <c r="V127" s="344" t="b">
        <f t="shared" si="56"/>
        <v>1</v>
      </c>
      <c r="W127" s="343"/>
      <c r="X127" s="344" t="b">
        <f t="shared" ref="X127:AA127" si="57">X115&gt;=$H$124</f>
        <v>1</v>
      </c>
      <c r="Y127" s="344" t="b">
        <f t="shared" si="57"/>
        <v>1</v>
      </c>
      <c r="Z127" s="344" t="b">
        <f t="shared" si="57"/>
        <v>1</v>
      </c>
      <c r="AA127" s="344" t="b">
        <f t="shared" si="57"/>
        <v>1</v>
      </c>
      <c r="AB127" s="343"/>
      <c r="AC127" s="344" t="b">
        <f t="shared" ref="AC127:AG127" si="58">AC115&gt;=$H$124</f>
        <v>1</v>
      </c>
      <c r="AD127" s="344" t="b">
        <f t="shared" si="58"/>
        <v>1</v>
      </c>
      <c r="AE127" s="344" t="b">
        <f t="shared" si="58"/>
        <v>1</v>
      </c>
      <c r="AF127" s="344" t="b">
        <f t="shared" si="58"/>
        <v>1</v>
      </c>
      <c r="AG127" s="344" t="b">
        <f t="shared" si="58"/>
        <v>1</v>
      </c>
      <c r="AH127" s="343"/>
      <c r="AI127" s="343"/>
      <c r="AJ127" s="343"/>
      <c r="AK127" s="343"/>
      <c r="AL127" s="343"/>
      <c r="AM127" s="343"/>
      <c r="AN127" s="343"/>
      <c r="AO127" s="343"/>
    </row>
    <row r="128" spans="3:41" x14ac:dyDescent="0.35">
      <c r="C128" s="24"/>
      <c r="D128"/>
      <c r="E128"/>
      <c r="F128" t="s">
        <v>994</v>
      </c>
      <c r="G128" t="s">
        <v>907</v>
      </c>
      <c r="J128" s="319" t="b">
        <f t="shared" ref="J128:J134" si="59">J116&gt;=$H$124</f>
        <v>1</v>
      </c>
      <c r="K128" s="339"/>
      <c r="L128" s="339"/>
      <c r="M128" s="319" t="b">
        <f t="shared" ref="M128:P128" si="60">M116&gt;=$H$124</f>
        <v>1</v>
      </c>
      <c r="N128" s="319" t="b">
        <f t="shared" si="60"/>
        <v>1</v>
      </c>
      <c r="O128" s="319" t="b">
        <f t="shared" si="60"/>
        <v>1</v>
      </c>
      <c r="P128" s="319" t="b">
        <f t="shared" si="60"/>
        <v>1</v>
      </c>
      <c r="Q128" s="339"/>
      <c r="R128" s="339"/>
      <c r="S128" s="319" t="b">
        <f t="shared" ref="S128:V128" si="61">S116&gt;=$H$124</f>
        <v>1</v>
      </c>
      <c r="T128" s="319" t="b">
        <f t="shared" si="61"/>
        <v>1</v>
      </c>
      <c r="U128" s="319" t="b">
        <f t="shared" si="61"/>
        <v>1</v>
      </c>
      <c r="V128" s="319" t="b">
        <f t="shared" si="61"/>
        <v>1</v>
      </c>
      <c r="W128" s="339"/>
      <c r="X128" s="319" t="b">
        <f t="shared" ref="X128:AA128" si="62">X116&gt;=$H$124</f>
        <v>1</v>
      </c>
      <c r="Y128" s="319" t="b">
        <f t="shared" si="62"/>
        <v>1</v>
      </c>
      <c r="Z128" s="319" t="b">
        <f t="shared" si="62"/>
        <v>1</v>
      </c>
      <c r="AA128" s="319" t="b">
        <f t="shared" si="62"/>
        <v>1</v>
      </c>
      <c r="AB128" s="339"/>
      <c r="AC128" s="319" t="b">
        <f t="shared" ref="AC128:AG128" si="63">AC116&gt;=$H$124</f>
        <v>1</v>
      </c>
      <c r="AD128" s="319" t="b">
        <f t="shared" si="63"/>
        <v>1</v>
      </c>
      <c r="AE128" s="319" t="b">
        <f t="shared" si="63"/>
        <v>1</v>
      </c>
      <c r="AF128" s="319" t="b">
        <f t="shared" si="63"/>
        <v>1</v>
      </c>
      <c r="AG128" s="319" t="b">
        <f t="shared" si="63"/>
        <v>1</v>
      </c>
      <c r="AH128" s="339"/>
      <c r="AI128" s="339"/>
      <c r="AJ128" s="339"/>
      <c r="AK128" s="339"/>
      <c r="AL128" s="339"/>
      <c r="AM128" s="339"/>
      <c r="AN128" s="339"/>
      <c r="AO128" s="339"/>
    </row>
    <row r="129" spans="3:41" x14ac:dyDescent="0.35">
      <c r="C129" s="24"/>
      <c r="D129"/>
      <c r="E129"/>
      <c r="F129" t="s">
        <v>995</v>
      </c>
      <c r="G129" t="s">
        <v>907</v>
      </c>
      <c r="J129" s="319" t="b">
        <f t="shared" si="59"/>
        <v>1</v>
      </c>
      <c r="K129" s="339"/>
      <c r="L129" s="339"/>
      <c r="M129" s="319" t="b">
        <f t="shared" ref="M129:P129" si="64">M117&gt;=$H$124</f>
        <v>1</v>
      </c>
      <c r="N129" s="319" t="b">
        <f t="shared" si="64"/>
        <v>1</v>
      </c>
      <c r="O129" s="319" t="b">
        <f t="shared" si="64"/>
        <v>1</v>
      </c>
      <c r="P129" s="319" t="b">
        <f t="shared" si="64"/>
        <v>1</v>
      </c>
      <c r="Q129" s="339"/>
      <c r="R129" s="339"/>
      <c r="S129" s="319" t="b">
        <f t="shared" ref="S129:V129" si="65">S117&gt;=$H$124</f>
        <v>1</v>
      </c>
      <c r="T129" s="319" t="b">
        <f t="shared" si="65"/>
        <v>1</v>
      </c>
      <c r="U129" s="319" t="b">
        <f t="shared" si="65"/>
        <v>1</v>
      </c>
      <c r="V129" s="319" t="b">
        <f t="shared" si="65"/>
        <v>1</v>
      </c>
      <c r="W129" s="339"/>
      <c r="X129" s="319" t="b">
        <f t="shared" ref="X129:AA129" si="66">X117&gt;=$H$124</f>
        <v>1</v>
      </c>
      <c r="Y129" s="319" t="b">
        <f t="shared" si="66"/>
        <v>1</v>
      </c>
      <c r="Z129" s="319" t="b">
        <f t="shared" si="66"/>
        <v>1</v>
      </c>
      <c r="AA129" s="319" t="b">
        <f t="shared" si="66"/>
        <v>1</v>
      </c>
      <c r="AB129" s="339"/>
      <c r="AC129" s="319" t="b">
        <f t="shared" ref="AC129:AG129" si="67">AC117&gt;=$H$124</f>
        <v>1</v>
      </c>
      <c r="AD129" s="319" t="b">
        <f t="shared" si="67"/>
        <v>1</v>
      </c>
      <c r="AE129" s="319" t="b">
        <f t="shared" si="67"/>
        <v>1</v>
      </c>
      <c r="AF129" s="319" t="b">
        <f t="shared" si="67"/>
        <v>1</v>
      </c>
      <c r="AG129" s="319" t="b">
        <f t="shared" si="67"/>
        <v>1</v>
      </c>
      <c r="AH129" s="339"/>
      <c r="AI129" s="339"/>
      <c r="AJ129" s="339"/>
      <c r="AK129" s="339"/>
      <c r="AL129" s="339"/>
      <c r="AM129" s="339"/>
      <c r="AN129" s="339"/>
      <c r="AO129" s="339"/>
    </row>
    <row r="130" spans="3:41" x14ac:dyDescent="0.35">
      <c r="C130" s="24"/>
      <c r="D130"/>
      <c r="E130"/>
      <c r="F130" t="s">
        <v>996</v>
      </c>
      <c r="G130" t="s">
        <v>907</v>
      </c>
      <c r="J130" s="319" t="b">
        <f t="shared" si="59"/>
        <v>1</v>
      </c>
      <c r="K130" s="339"/>
      <c r="L130" s="339"/>
      <c r="M130" s="319" t="b">
        <f t="shared" ref="M130:P130" si="68">M118&gt;=$H$124</f>
        <v>1</v>
      </c>
      <c r="N130" s="319" t="b">
        <f t="shared" si="68"/>
        <v>1</v>
      </c>
      <c r="O130" s="319" t="b">
        <f t="shared" si="68"/>
        <v>1</v>
      </c>
      <c r="P130" s="319" t="b">
        <f t="shared" si="68"/>
        <v>1</v>
      </c>
      <c r="Q130" s="339"/>
      <c r="R130" s="339"/>
      <c r="S130" s="319" t="b">
        <f t="shared" ref="S130:V130" si="69">S118&gt;=$H$124</f>
        <v>1</v>
      </c>
      <c r="T130" s="319" t="b">
        <f t="shared" si="69"/>
        <v>1</v>
      </c>
      <c r="U130" s="319" t="b">
        <f t="shared" si="69"/>
        <v>1</v>
      </c>
      <c r="V130" s="319" t="b">
        <f t="shared" si="69"/>
        <v>1</v>
      </c>
      <c r="W130" s="339"/>
      <c r="X130" s="319" t="b">
        <f t="shared" ref="X130:AA130" si="70">X118&gt;=$H$124</f>
        <v>1</v>
      </c>
      <c r="Y130" s="319" t="b">
        <f t="shared" si="70"/>
        <v>1</v>
      </c>
      <c r="Z130" s="319" t="b">
        <f t="shared" si="70"/>
        <v>1</v>
      </c>
      <c r="AA130" s="319" t="b">
        <f t="shared" si="70"/>
        <v>1</v>
      </c>
      <c r="AB130" s="339"/>
      <c r="AC130" s="319" t="b">
        <f t="shared" ref="AC130:AG130" si="71">AC118&gt;=$H$124</f>
        <v>1</v>
      </c>
      <c r="AD130" s="319" t="b">
        <f t="shared" si="71"/>
        <v>1</v>
      </c>
      <c r="AE130" s="319" t="b">
        <f t="shared" si="71"/>
        <v>1</v>
      </c>
      <c r="AF130" s="319" t="b">
        <f t="shared" si="71"/>
        <v>1</v>
      </c>
      <c r="AG130" s="319" t="b">
        <f t="shared" si="71"/>
        <v>1</v>
      </c>
      <c r="AH130" s="339"/>
      <c r="AI130" s="339"/>
      <c r="AJ130" s="339"/>
      <c r="AK130" s="339"/>
      <c r="AL130" s="339"/>
      <c r="AM130" s="339"/>
      <c r="AN130" s="339"/>
      <c r="AO130" s="339"/>
    </row>
    <row r="131" spans="3:41" x14ac:dyDescent="0.35">
      <c r="C131" s="24"/>
      <c r="D131"/>
      <c r="E131"/>
      <c r="F131" t="s">
        <v>997</v>
      </c>
      <c r="G131" t="s">
        <v>907</v>
      </c>
      <c r="J131" s="319" t="b">
        <f t="shared" si="59"/>
        <v>1</v>
      </c>
      <c r="K131" s="339"/>
      <c r="L131" s="339"/>
      <c r="M131" s="319" t="b">
        <f t="shared" ref="M131:P131" si="72">M119&gt;=$H$124</f>
        <v>1</v>
      </c>
      <c r="N131" s="319" t="b">
        <f t="shared" si="72"/>
        <v>1</v>
      </c>
      <c r="O131" s="319" t="b">
        <f t="shared" si="72"/>
        <v>1</v>
      </c>
      <c r="P131" s="319" t="b">
        <f t="shared" si="72"/>
        <v>1</v>
      </c>
      <c r="Q131" s="339"/>
      <c r="R131" s="339"/>
      <c r="S131" s="319" t="b">
        <f t="shared" ref="S131:V131" si="73">S119&gt;=$H$124</f>
        <v>1</v>
      </c>
      <c r="T131" s="319" t="b">
        <f t="shared" si="73"/>
        <v>1</v>
      </c>
      <c r="U131" s="319" t="b">
        <f t="shared" si="73"/>
        <v>1</v>
      </c>
      <c r="V131" s="319" t="b">
        <f t="shared" si="73"/>
        <v>1</v>
      </c>
      <c r="W131" s="339"/>
      <c r="X131" s="319" t="b">
        <f t="shared" ref="X131:AA131" si="74">X119&gt;=$H$124</f>
        <v>1</v>
      </c>
      <c r="Y131" s="319" t="b">
        <f t="shared" si="74"/>
        <v>1</v>
      </c>
      <c r="Z131" s="319" t="b">
        <f t="shared" si="74"/>
        <v>1</v>
      </c>
      <c r="AA131" s="319" t="b">
        <f t="shared" si="74"/>
        <v>1</v>
      </c>
      <c r="AB131" s="339"/>
      <c r="AC131" s="319" t="b">
        <f t="shared" ref="AC131:AG131" si="75">AC119&gt;=$H$124</f>
        <v>1</v>
      </c>
      <c r="AD131" s="319" t="b">
        <f t="shared" si="75"/>
        <v>1</v>
      </c>
      <c r="AE131" s="319" t="b">
        <f t="shared" si="75"/>
        <v>1</v>
      </c>
      <c r="AF131" s="319" t="b">
        <f t="shared" si="75"/>
        <v>1</v>
      </c>
      <c r="AG131" s="319" t="b">
        <f t="shared" si="75"/>
        <v>1</v>
      </c>
      <c r="AH131" s="339"/>
      <c r="AI131" s="339"/>
      <c r="AJ131" s="339"/>
      <c r="AK131" s="339"/>
      <c r="AL131" s="339"/>
      <c r="AM131" s="339"/>
      <c r="AN131" s="339"/>
      <c r="AO131" s="339"/>
    </row>
    <row r="132" spans="3:41" x14ac:dyDescent="0.35">
      <c r="C132" s="24"/>
      <c r="D132"/>
      <c r="E132"/>
      <c r="F132" t="s">
        <v>998</v>
      </c>
      <c r="G132" t="s">
        <v>907</v>
      </c>
      <c r="J132" s="319" t="b">
        <f t="shared" si="59"/>
        <v>1</v>
      </c>
      <c r="K132" s="339"/>
      <c r="L132" s="339"/>
      <c r="M132" s="319" t="b">
        <f t="shared" ref="M132:P132" si="76">M120&gt;=$H$124</f>
        <v>1</v>
      </c>
      <c r="N132" s="319" t="b">
        <f t="shared" si="76"/>
        <v>1</v>
      </c>
      <c r="O132" s="319" t="b">
        <f t="shared" si="76"/>
        <v>1</v>
      </c>
      <c r="P132" s="319" t="b">
        <f t="shared" si="76"/>
        <v>1</v>
      </c>
      <c r="Q132" s="339"/>
      <c r="R132" s="339"/>
      <c r="S132" s="319" t="b">
        <f t="shared" ref="S132:V132" si="77">S120&gt;=$H$124</f>
        <v>1</v>
      </c>
      <c r="T132" s="319" t="b">
        <f t="shared" si="77"/>
        <v>1</v>
      </c>
      <c r="U132" s="319" t="b">
        <f t="shared" si="77"/>
        <v>1</v>
      </c>
      <c r="V132" s="319" t="b">
        <f t="shared" si="77"/>
        <v>1</v>
      </c>
      <c r="W132" s="339"/>
      <c r="X132" s="319" t="b">
        <f t="shared" ref="X132:AA132" si="78">X120&gt;=$H$124</f>
        <v>1</v>
      </c>
      <c r="Y132" s="319" t="b">
        <f t="shared" si="78"/>
        <v>1</v>
      </c>
      <c r="Z132" s="319" t="b">
        <f t="shared" si="78"/>
        <v>1</v>
      </c>
      <c r="AA132" s="319" t="b">
        <f t="shared" si="78"/>
        <v>1</v>
      </c>
      <c r="AB132" s="339"/>
      <c r="AC132" s="319" t="b">
        <f t="shared" ref="AC132:AG132" si="79">AC120&gt;=$H$124</f>
        <v>1</v>
      </c>
      <c r="AD132" s="319" t="b">
        <f t="shared" si="79"/>
        <v>1</v>
      </c>
      <c r="AE132" s="319" t="b">
        <f t="shared" si="79"/>
        <v>1</v>
      </c>
      <c r="AF132" s="319" t="b">
        <f t="shared" si="79"/>
        <v>1</v>
      </c>
      <c r="AG132" s="319" t="b">
        <f t="shared" si="79"/>
        <v>1</v>
      </c>
      <c r="AH132" s="339"/>
      <c r="AI132" s="339"/>
      <c r="AJ132" s="339"/>
      <c r="AK132" s="339"/>
      <c r="AL132" s="339"/>
      <c r="AM132" s="339"/>
      <c r="AN132" s="339"/>
      <c r="AO132" s="339"/>
    </row>
    <row r="133" spans="3:41" x14ac:dyDescent="0.35">
      <c r="C133" s="24"/>
      <c r="D133"/>
      <c r="E133"/>
      <c r="F133" t="s">
        <v>999</v>
      </c>
      <c r="G133" t="s">
        <v>907</v>
      </c>
      <c r="J133" s="319" t="b">
        <f t="shared" si="59"/>
        <v>1</v>
      </c>
      <c r="K133" s="339"/>
      <c r="L133" s="339"/>
      <c r="M133" s="319" t="b">
        <f t="shared" ref="M133:P133" si="80">M121&gt;=$H$124</f>
        <v>1</v>
      </c>
      <c r="N133" s="319" t="b">
        <f t="shared" si="80"/>
        <v>1</v>
      </c>
      <c r="O133" s="319" t="b">
        <f t="shared" si="80"/>
        <v>1</v>
      </c>
      <c r="P133" s="319" t="b">
        <f t="shared" si="80"/>
        <v>1</v>
      </c>
      <c r="Q133" s="339"/>
      <c r="R133" s="339"/>
      <c r="S133" s="319" t="b">
        <f t="shared" ref="S133:V133" si="81">S121&gt;=$H$124</f>
        <v>1</v>
      </c>
      <c r="T133" s="319" t="b">
        <f t="shared" si="81"/>
        <v>1</v>
      </c>
      <c r="U133" s="319" t="b">
        <f t="shared" si="81"/>
        <v>1</v>
      </c>
      <c r="V133" s="319" t="b">
        <f t="shared" si="81"/>
        <v>1</v>
      </c>
      <c r="W133" s="339"/>
      <c r="X133" s="319" t="b">
        <f t="shared" ref="X133:AA133" si="82">X121&gt;=$H$124</f>
        <v>1</v>
      </c>
      <c r="Y133" s="319" t="b">
        <f t="shared" si="82"/>
        <v>1</v>
      </c>
      <c r="Z133" s="319" t="b">
        <f t="shared" si="82"/>
        <v>1</v>
      </c>
      <c r="AA133" s="319" t="b">
        <f t="shared" si="82"/>
        <v>1</v>
      </c>
      <c r="AB133" s="339"/>
      <c r="AC133" s="319" t="b">
        <f t="shared" ref="AC133:AG133" si="83">AC121&gt;=$H$124</f>
        <v>1</v>
      </c>
      <c r="AD133" s="319" t="b">
        <f t="shared" si="83"/>
        <v>1</v>
      </c>
      <c r="AE133" s="319" t="b">
        <f t="shared" si="83"/>
        <v>1</v>
      </c>
      <c r="AF133" s="319" t="b">
        <f t="shared" si="83"/>
        <v>1</v>
      </c>
      <c r="AG133" s="319" t="b">
        <f t="shared" si="83"/>
        <v>1</v>
      </c>
      <c r="AH133" s="339"/>
      <c r="AI133" s="339"/>
      <c r="AJ133" s="339"/>
      <c r="AK133" s="339"/>
      <c r="AL133" s="339"/>
      <c r="AM133" s="339"/>
      <c r="AN133" s="339"/>
      <c r="AO133" s="339"/>
    </row>
    <row r="134" spans="3:41" x14ac:dyDescent="0.35">
      <c r="C134" s="24"/>
      <c r="D134"/>
      <c r="E134"/>
      <c r="F134" s="28" t="s">
        <v>1000</v>
      </c>
      <c r="G134" s="28" t="s">
        <v>907</v>
      </c>
      <c r="H134" s="28"/>
      <c r="I134" s="28"/>
      <c r="J134" s="345" t="b">
        <f t="shared" si="59"/>
        <v>1</v>
      </c>
      <c r="K134" s="341"/>
      <c r="L134" s="341"/>
      <c r="M134" s="345" t="b">
        <f t="shared" ref="M134:P134" si="84">M122&gt;=$H$124</f>
        <v>1</v>
      </c>
      <c r="N134" s="345" t="b">
        <f t="shared" si="84"/>
        <v>1</v>
      </c>
      <c r="O134" s="345" t="b">
        <f t="shared" si="84"/>
        <v>1</v>
      </c>
      <c r="P134" s="345" t="b">
        <f t="shared" si="84"/>
        <v>1</v>
      </c>
      <c r="Q134" s="341"/>
      <c r="R134" s="341"/>
      <c r="S134" s="345" t="b">
        <f t="shared" ref="S134:V134" si="85">S122&gt;=$H$124</f>
        <v>1</v>
      </c>
      <c r="T134" s="345" t="b">
        <f t="shared" si="85"/>
        <v>1</v>
      </c>
      <c r="U134" s="345" t="b">
        <f t="shared" si="85"/>
        <v>1</v>
      </c>
      <c r="V134" s="345" t="b">
        <f t="shared" si="85"/>
        <v>1</v>
      </c>
      <c r="W134" s="341"/>
      <c r="X134" s="345" t="b">
        <f t="shared" ref="X134:AA134" si="86">X122&gt;=$H$124</f>
        <v>1</v>
      </c>
      <c r="Y134" s="345" t="b">
        <f t="shared" si="86"/>
        <v>1</v>
      </c>
      <c r="Z134" s="345" t="b">
        <f t="shared" si="86"/>
        <v>1</v>
      </c>
      <c r="AA134" s="345" t="b">
        <f t="shared" si="86"/>
        <v>1</v>
      </c>
      <c r="AB134" s="341"/>
      <c r="AC134" s="345" t="b">
        <f t="shared" ref="AC134:AG134" si="87">AC122&gt;=$H$124</f>
        <v>1</v>
      </c>
      <c r="AD134" s="345" t="b">
        <f t="shared" si="87"/>
        <v>1</v>
      </c>
      <c r="AE134" s="345" t="b">
        <f t="shared" si="87"/>
        <v>1</v>
      </c>
      <c r="AF134" s="345" t="b">
        <f t="shared" si="87"/>
        <v>1</v>
      </c>
      <c r="AG134" s="345" t="b">
        <f t="shared" si="87"/>
        <v>1</v>
      </c>
      <c r="AH134" s="341"/>
      <c r="AI134" s="341"/>
      <c r="AJ134" s="341"/>
      <c r="AK134" s="341"/>
      <c r="AL134" s="341"/>
      <c r="AM134" s="341"/>
      <c r="AN134" s="341"/>
      <c r="AO134" s="341"/>
    </row>
    <row r="135" spans="3:41" x14ac:dyDescent="0.35">
      <c r="C135" s="24"/>
      <c r="D135"/>
      <c r="E135"/>
      <c r="J135" s="153"/>
      <c r="K135" s="153"/>
      <c r="L135" s="153"/>
      <c r="M135" s="319"/>
      <c r="N135" s="319"/>
      <c r="O135" s="319"/>
      <c r="P135" s="319"/>
      <c r="Q135" s="153"/>
      <c r="R135" s="153"/>
      <c r="S135" s="319"/>
      <c r="T135" s="319"/>
      <c r="U135" s="319"/>
      <c r="V135" s="319"/>
      <c r="W135" s="153"/>
      <c r="X135" s="319"/>
      <c r="Y135" s="319"/>
      <c r="Z135" s="319"/>
      <c r="AA135" s="319"/>
      <c r="AB135" s="153"/>
      <c r="AC135" s="319"/>
      <c r="AD135" s="319"/>
      <c r="AE135" s="319"/>
      <c r="AF135" s="319"/>
      <c r="AG135" s="153"/>
      <c r="AH135" s="153"/>
      <c r="AI135" s="153"/>
      <c r="AJ135" s="153"/>
      <c r="AK135" s="153"/>
      <c r="AL135" s="153"/>
      <c r="AM135" s="153"/>
      <c r="AN135" s="153"/>
      <c r="AO135" s="153"/>
    </row>
    <row r="136" spans="3:41" x14ac:dyDescent="0.35">
      <c r="C136" s="24"/>
      <c r="D136"/>
      <c r="E136" s="27" t="s">
        <v>1117</v>
      </c>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153"/>
      <c r="AL136" s="153"/>
      <c r="AM136" s="153"/>
      <c r="AN136" s="153"/>
      <c r="AO136" s="153"/>
    </row>
    <row r="137" spans="3:41" x14ac:dyDescent="0.35">
      <c r="C137" s="24"/>
      <c r="D137"/>
      <c r="E137"/>
      <c r="F137" s="19" t="s">
        <v>993</v>
      </c>
      <c r="G137" s="19" t="s">
        <v>149</v>
      </c>
      <c r="H137" s="19"/>
      <c r="I137" s="19"/>
      <c r="J137" s="344">
        <f t="shared" ref="J137:J144" si="88">COUNTIFS($J127:$AO127,TRUE,$J$35:$AO$35,J$35)</f>
        <v>1</v>
      </c>
      <c r="K137" s="343"/>
      <c r="L137" s="343"/>
      <c r="M137" s="344">
        <f t="shared" ref="M137:P144" si="89">COUNTIFS($J127:$AO127,TRUE,$J$35:$AO$35,M$35)</f>
        <v>4</v>
      </c>
      <c r="N137" s="344">
        <f t="shared" si="89"/>
        <v>4</v>
      </c>
      <c r="O137" s="344">
        <f t="shared" si="89"/>
        <v>4</v>
      </c>
      <c r="P137" s="344">
        <f t="shared" si="89"/>
        <v>4</v>
      </c>
      <c r="Q137" s="343"/>
      <c r="R137" s="343"/>
      <c r="S137" s="344">
        <f t="shared" ref="S137:V144" si="90">COUNTIFS($J127:$AO127,TRUE,$J$35:$AO$35,S$35)</f>
        <v>8</v>
      </c>
      <c r="T137" s="344">
        <f t="shared" si="90"/>
        <v>8</v>
      </c>
      <c r="U137" s="344">
        <f t="shared" si="90"/>
        <v>8</v>
      </c>
      <c r="V137" s="344">
        <f t="shared" si="90"/>
        <v>8</v>
      </c>
      <c r="W137" s="343"/>
      <c r="X137" s="344">
        <f t="shared" ref="X137:AA144" si="91">COUNTIFS($J127:$AO127,TRUE,$J$35:$AO$35,X$35)</f>
        <v>8</v>
      </c>
      <c r="Y137" s="344">
        <f t="shared" si="91"/>
        <v>8</v>
      </c>
      <c r="Z137" s="344">
        <f t="shared" si="91"/>
        <v>8</v>
      </c>
      <c r="AA137" s="344">
        <f t="shared" si="91"/>
        <v>8</v>
      </c>
      <c r="AB137" s="343"/>
      <c r="AC137" s="344">
        <f t="shared" ref="AC137:AG144" si="92">COUNTIFS($J127:$AO127,TRUE,$J$35:$AO$35,AC$35)</f>
        <v>4</v>
      </c>
      <c r="AD137" s="344">
        <f t="shared" si="92"/>
        <v>4</v>
      </c>
      <c r="AE137" s="344">
        <f t="shared" si="92"/>
        <v>4</v>
      </c>
      <c r="AF137" s="344">
        <f t="shared" si="92"/>
        <v>4</v>
      </c>
      <c r="AG137" s="344">
        <f t="shared" si="92"/>
        <v>1</v>
      </c>
      <c r="AH137" s="343"/>
      <c r="AI137" s="343"/>
      <c r="AJ137" s="343"/>
      <c r="AK137" s="343"/>
      <c r="AL137" s="343"/>
      <c r="AM137" s="343"/>
      <c r="AN137" s="343"/>
      <c r="AO137" s="343"/>
    </row>
    <row r="138" spans="3:41" x14ac:dyDescent="0.35">
      <c r="C138" s="24"/>
      <c r="D138"/>
      <c r="E138"/>
      <c r="F138" t="s">
        <v>994</v>
      </c>
      <c r="G138" t="s">
        <v>149</v>
      </c>
      <c r="J138" s="319">
        <f t="shared" si="88"/>
        <v>1</v>
      </c>
      <c r="K138" s="339"/>
      <c r="L138" s="339"/>
      <c r="M138" s="319">
        <f t="shared" si="89"/>
        <v>4</v>
      </c>
      <c r="N138" s="319">
        <f t="shared" si="89"/>
        <v>4</v>
      </c>
      <c r="O138" s="319">
        <f t="shared" si="89"/>
        <v>4</v>
      </c>
      <c r="P138" s="319">
        <f t="shared" si="89"/>
        <v>4</v>
      </c>
      <c r="Q138" s="339"/>
      <c r="R138" s="339"/>
      <c r="S138" s="319">
        <f t="shared" si="90"/>
        <v>8</v>
      </c>
      <c r="T138" s="319">
        <f t="shared" si="90"/>
        <v>8</v>
      </c>
      <c r="U138" s="319">
        <f t="shared" si="90"/>
        <v>8</v>
      </c>
      <c r="V138" s="319">
        <f t="shared" si="90"/>
        <v>8</v>
      </c>
      <c r="W138" s="339"/>
      <c r="X138" s="319">
        <f t="shared" si="91"/>
        <v>8</v>
      </c>
      <c r="Y138" s="319">
        <f t="shared" si="91"/>
        <v>8</v>
      </c>
      <c r="Z138" s="319">
        <f t="shared" si="91"/>
        <v>8</v>
      </c>
      <c r="AA138" s="319">
        <f t="shared" si="91"/>
        <v>8</v>
      </c>
      <c r="AB138" s="339"/>
      <c r="AC138" s="319">
        <f t="shared" si="92"/>
        <v>4</v>
      </c>
      <c r="AD138" s="319">
        <f t="shared" si="92"/>
        <v>4</v>
      </c>
      <c r="AE138" s="319">
        <f t="shared" si="92"/>
        <v>4</v>
      </c>
      <c r="AF138" s="319">
        <f t="shared" si="92"/>
        <v>4</v>
      </c>
      <c r="AG138" s="319">
        <f t="shared" si="92"/>
        <v>1</v>
      </c>
      <c r="AH138" s="339"/>
      <c r="AI138" s="339"/>
      <c r="AJ138" s="339"/>
      <c r="AK138" s="339"/>
      <c r="AL138" s="339"/>
      <c r="AM138" s="339"/>
      <c r="AN138" s="339"/>
      <c r="AO138" s="339"/>
    </row>
    <row r="139" spans="3:41" x14ac:dyDescent="0.35">
      <c r="C139" s="24"/>
      <c r="D139"/>
      <c r="E139"/>
      <c r="F139" t="s">
        <v>995</v>
      </c>
      <c r="G139" t="s">
        <v>149</v>
      </c>
      <c r="J139" s="319">
        <f t="shared" si="88"/>
        <v>1</v>
      </c>
      <c r="K139" s="339"/>
      <c r="L139" s="339"/>
      <c r="M139" s="319">
        <f t="shared" si="89"/>
        <v>4</v>
      </c>
      <c r="N139" s="319">
        <f t="shared" si="89"/>
        <v>4</v>
      </c>
      <c r="O139" s="319">
        <f t="shared" si="89"/>
        <v>4</v>
      </c>
      <c r="P139" s="319">
        <f t="shared" si="89"/>
        <v>4</v>
      </c>
      <c r="Q139" s="339"/>
      <c r="R139" s="339"/>
      <c r="S139" s="319">
        <f t="shared" si="90"/>
        <v>8</v>
      </c>
      <c r="T139" s="319">
        <f t="shared" si="90"/>
        <v>8</v>
      </c>
      <c r="U139" s="319">
        <f t="shared" si="90"/>
        <v>8</v>
      </c>
      <c r="V139" s="319">
        <f t="shared" si="90"/>
        <v>8</v>
      </c>
      <c r="W139" s="339"/>
      <c r="X139" s="319">
        <f t="shared" si="91"/>
        <v>8</v>
      </c>
      <c r="Y139" s="319">
        <f t="shared" si="91"/>
        <v>8</v>
      </c>
      <c r="Z139" s="319">
        <f t="shared" si="91"/>
        <v>8</v>
      </c>
      <c r="AA139" s="319">
        <f t="shared" si="91"/>
        <v>8</v>
      </c>
      <c r="AB139" s="339"/>
      <c r="AC139" s="319">
        <f t="shared" si="92"/>
        <v>4</v>
      </c>
      <c r="AD139" s="319">
        <f t="shared" si="92"/>
        <v>4</v>
      </c>
      <c r="AE139" s="319">
        <f t="shared" si="92"/>
        <v>4</v>
      </c>
      <c r="AF139" s="319">
        <f t="shared" si="92"/>
        <v>4</v>
      </c>
      <c r="AG139" s="319">
        <f t="shared" si="92"/>
        <v>1</v>
      </c>
      <c r="AH139" s="339"/>
      <c r="AI139" s="339"/>
      <c r="AJ139" s="339"/>
      <c r="AK139" s="339"/>
      <c r="AL139" s="339"/>
      <c r="AM139" s="339"/>
      <c r="AN139" s="339"/>
      <c r="AO139" s="339"/>
    </row>
    <row r="140" spans="3:41" x14ac:dyDescent="0.35">
      <c r="C140" s="24"/>
      <c r="D140"/>
      <c r="E140"/>
      <c r="F140" t="s">
        <v>996</v>
      </c>
      <c r="G140" t="s">
        <v>149</v>
      </c>
      <c r="J140" s="319">
        <f t="shared" si="88"/>
        <v>1</v>
      </c>
      <c r="K140" s="339"/>
      <c r="L140" s="339"/>
      <c r="M140" s="319">
        <f t="shared" si="89"/>
        <v>4</v>
      </c>
      <c r="N140" s="319">
        <f t="shared" si="89"/>
        <v>4</v>
      </c>
      <c r="O140" s="319">
        <f t="shared" si="89"/>
        <v>4</v>
      </c>
      <c r="P140" s="319">
        <f t="shared" si="89"/>
        <v>4</v>
      </c>
      <c r="Q140" s="339"/>
      <c r="R140" s="339"/>
      <c r="S140" s="319">
        <f t="shared" si="90"/>
        <v>8</v>
      </c>
      <c r="T140" s="319">
        <f t="shared" si="90"/>
        <v>8</v>
      </c>
      <c r="U140" s="319">
        <f t="shared" si="90"/>
        <v>8</v>
      </c>
      <c r="V140" s="319">
        <f t="shared" si="90"/>
        <v>8</v>
      </c>
      <c r="W140" s="339"/>
      <c r="X140" s="319">
        <f t="shared" si="91"/>
        <v>8</v>
      </c>
      <c r="Y140" s="319">
        <f t="shared" si="91"/>
        <v>8</v>
      </c>
      <c r="Z140" s="319">
        <f t="shared" si="91"/>
        <v>8</v>
      </c>
      <c r="AA140" s="319">
        <f t="shared" si="91"/>
        <v>8</v>
      </c>
      <c r="AB140" s="339"/>
      <c r="AC140" s="319">
        <f t="shared" si="92"/>
        <v>4</v>
      </c>
      <c r="AD140" s="319">
        <f t="shared" si="92"/>
        <v>4</v>
      </c>
      <c r="AE140" s="319">
        <f t="shared" si="92"/>
        <v>4</v>
      </c>
      <c r="AF140" s="319">
        <f t="shared" si="92"/>
        <v>4</v>
      </c>
      <c r="AG140" s="319">
        <f t="shared" si="92"/>
        <v>1</v>
      </c>
      <c r="AH140" s="339"/>
      <c r="AI140" s="339"/>
      <c r="AJ140" s="339"/>
      <c r="AK140" s="339"/>
      <c r="AL140" s="339"/>
      <c r="AM140" s="339"/>
      <c r="AN140" s="339"/>
      <c r="AO140" s="339"/>
    </row>
    <row r="141" spans="3:41" x14ac:dyDescent="0.35">
      <c r="C141" s="24"/>
      <c r="D141"/>
      <c r="E141"/>
      <c r="F141" t="s">
        <v>997</v>
      </c>
      <c r="G141" t="s">
        <v>149</v>
      </c>
      <c r="J141" s="319">
        <f t="shared" si="88"/>
        <v>1</v>
      </c>
      <c r="K141" s="339"/>
      <c r="L141" s="339"/>
      <c r="M141" s="319">
        <f t="shared" si="89"/>
        <v>4</v>
      </c>
      <c r="N141" s="319">
        <f t="shared" si="89"/>
        <v>4</v>
      </c>
      <c r="O141" s="319">
        <f t="shared" si="89"/>
        <v>4</v>
      </c>
      <c r="P141" s="319">
        <f t="shared" si="89"/>
        <v>4</v>
      </c>
      <c r="Q141" s="339"/>
      <c r="R141" s="339"/>
      <c r="S141" s="319">
        <f t="shared" si="90"/>
        <v>8</v>
      </c>
      <c r="T141" s="319">
        <f t="shared" si="90"/>
        <v>8</v>
      </c>
      <c r="U141" s="319">
        <f t="shared" si="90"/>
        <v>8</v>
      </c>
      <c r="V141" s="319">
        <f t="shared" si="90"/>
        <v>8</v>
      </c>
      <c r="W141" s="339"/>
      <c r="X141" s="319">
        <f t="shared" si="91"/>
        <v>8</v>
      </c>
      <c r="Y141" s="319">
        <f t="shared" si="91"/>
        <v>8</v>
      </c>
      <c r="Z141" s="319">
        <f t="shared" si="91"/>
        <v>8</v>
      </c>
      <c r="AA141" s="319">
        <f t="shared" si="91"/>
        <v>8</v>
      </c>
      <c r="AB141" s="339"/>
      <c r="AC141" s="319">
        <f t="shared" si="92"/>
        <v>4</v>
      </c>
      <c r="AD141" s="319">
        <f t="shared" si="92"/>
        <v>4</v>
      </c>
      <c r="AE141" s="319">
        <f t="shared" si="92"/>
        <v>4</v>
      </c>
      <c r="AF141" s="319">
        <f t="shared" si="92"/>
        <v>4</v>
      </c>
      <c r="AG141" s="319">
        <f t="shared" si="92"/>
        <v>1</v>
      </c>
      <c r="AH141" s="339"/>
      <c r="AI141" s="339"/>
      <c r="AJ141" s="339"/>
      <c r="AK141" s="339"/>
      <c r="AL141" s="339"/>
      <c r="AM141" s="339"/>
      <c r="AN141" s="339"/>
      <c r="AO141" s="339"/>
    </row>
    <row r="142" spans="3:41" x14ac:dyDescent="0.35">
      <c r="C142" s="24"/>
      <c r="D142"/>
      <c r="E142"/>
      <c r="F142" t="s">
        <v>998</v>
      </c>
      <c r="G142" t="s">
        <v>149</v>
      </c>
      <c r="J142" s="319">
        <f t="shared" si="88"/>
        <v>1</v>
      </c>
      <c r="K142" s="339"/>
      <c r="L142" s="339"/>
      <c r="M142" s="319">
        <f t="shared" si="89"/>
        <v>4</v>
      </c>
      <c r="N142" s="319">
        <f t="shared" si="89"/>
        <v>4</v>
      </c>
      <c r="O142" s="319">
        <f t="shared" si="89"/>
        <v>4</v>
      </c>
      <c r="P142" s="319">
        <f t="shared" si="89"/>
        <v>4</v>
      </c>
      <c r="Q142" s="339"/>
      <c r="R142" s="339"/>
      <c r="S142" s="319">
        <f t="shared" si="90"/>
        <v>8</v>
      </c>
      <c r="T142" s="319">
        <f t="shared" si="90"/>
        <v>8</v>
      </c>
      <c r="U142" s="319">
        <f t="shared" si="90"/>
        <v>8</v>
      </c>
      <c r="V142" s="319">
        <f t="shared" si="90"/>
        <v>8</v>
      </c>
      <c r="W142" s="339"/>
      <c r="X142" s="319">
        <f t="shared" si="91"/>
        <v>8</v>
      </c>
      <c r="Y142" s="319">
        <f t="shared" si="91"/>
        <v>8</v>
      </c>
      <c r="Z142" s="319">
        <f t="shared" si="91"/>
        <v>8</v>
      </c>
      <c r="AA142" s="319">
        <f t="shared" si="91"/>
        <v>8</v>
      </c>
      <c r="AB142" s="339"/>
      <c r="AC142" s="319">
        <f t="shared" si="92"/>
        <v>4</v>
      </c>
      <c r="AD142" s="319">
        <f t="shared" si="92"/>
        <v>4</v>
      </c>
      <c r="AE142" s="319">
        <f t="shared" si="92"/>
        <v>4</v>
      </c>
      <c r="AF142" s="319">
        <f t="shared" si="92"/>
        <v>4</v>
      </c>
      <c r="AG142" s="319">
        <f t="shared" si="92"/>
        <v>1</v>
      </c>
      <c r="AH142" s="339"/>
      <c r="AI142" s="339"/>
      <c r="AJ142" s="339"/>
      <c r="AK142" s="339"/>
      <c r="AL142" s="339"/>
      <c r="AM142" s="339"/>
      <c r="AN142" s="339"/>
      <c r="AO142" s="339"/>
    </row>
    <row r="143" spans="3:41" x14ac:dyDescent="0.35">
      <c r="C143" s="24"/>
      <c r="D143"/>
      <c r="E143"/>
      <c r="F143" t="s">
        <v>999</v>
      </c>
      <c r="G143" t="s">
        <v>149</v>
      </c>
      <c r="J143" s="319">
        <f t="shared" si="88"/>
        <v>1</v>
      </c>
      <c r="K143" s="339"/>
      <c r="L143" s="339"/>
      <c r="M143" s="319">
        <f t="shared" si="89"/>
        <v>4</v>
      </c>
      <c r="N143" s="319">
        <f t="shared" si="89"/>
        <v>4</v>
      </c>
      <c r="O143" s="319">
        <f t="shared" si="89"/>
        <v>4</v>
      </c>
      <c r="P143" s="319">
        <f t="shared" si="89"/>
        <v>4</v>
      </c>
      <c r="Q143" s="339"/>
      <c r="R143" s="339"/>
      <c r="S143" s="319">
        <f t="shared" si="90"/>
        <v>8</v>
      </c>
      <c r="T143" s="319">
        <f t="shared" si="90"/>
        <v>8</v>
      </c>
      <c r="U143" s="319">
        <f t="shared" si="90"/>
        <v>8</v>
      </c>
      <c r="V143" s="319">
        <f t="shared" si="90"/>
        <v>8</v>
      </c>
      <c r="W143" s="339"/>
      <c r="X143" s="319">
        <f t="shared" si="91"/>
        <v>8</v>
      </c>
      <c r="Y143" s="319">
        <f t="shared" si="91"/>
        <v>8</v>
      </c>
      <c r="Z143" s="319">
        <f t="shared" si="91"/>
        <v>8</v>
      </c>
      <c r="AA143" s="319">
        <f t="shared" si="91"/>
        <v>8</v>
      </c>
      <c r="AB143" s="339"/>
      <c r="AC143" s="319">
        <f t="shared" si="92"/>
        <v>4</v>
      </c>
      <c r="AD143" s="319">
        <f t="shared" si="92"/>
        <v>4</v>
      </c>
      <c r="AE143" s="319">
        <f t="shared" si="92"/>
        <v>4</v>
      </c>
      <c r="AF143" s="319">
        <f t="shared" si="92"/>
        <v>4</v>
      </c>
      <c r="AG143" s="319">
        <f t="shared" si="92"/>
        <v>1</v>
      </c>
      <c r="AH143" s="339"/>
      <c r="AI143" s="339"/>
      <c r="AJ143" s="339"/>
      <c r="AK143" s="339"/>
      <c r="AL143" s="339"/>
      <c r="AM143" s="339"/>
      <c r="AN143" s="339"/>
      <c r="AO143" s="339"/>
    </row>
    <row r="144" spans="3:41" x14ac:dyDescent="0.35">
      <c r="C144" s="24"/>
      <c r="D144"/>
      <c r="E144"/>
      <c r="F144" s="28" t="s">
        <v>1000</v>
      </c>
      <c r="G144" s="28" t="s">
        <v>149</v>
      </c>
      <c r="H144" s="28"/>
      <c r="I144" s="28"/>
      <c r="J144" s="345">
        <f t="shared" si="88"/>
        <v>1</v>
      </c>
      <c r="K144" s="341"/>
      <c r="L144" s="341"/>
      <c r="M144" s="345">
        <f t="shared" si="89"/>
        <v>4</v>
      </c>
      <c r="N144" s="345">
        <f t="shared" si="89"/>
        <v>4</v>
      </c>
      <c r="O144" s="345">
        <f t="shared" si="89"/>
        <v>4</v>
      </c>
      <c r="P144" s="345">
        <f t="shared" si="89"/>
        <v>4</v>
      </c>
      <c r="Q144" s="341"/>
      <c r="R144" s="341"/>
      <c r="S144" s="345">
        <f t="shared" si="90"/>
        <v>8</v>
      </c>
      <c r="T144" s="345">
        <f t="shared" si="90"/>
        <v>8</v>
      </c>
      <c r="U144" s="345">
        <f t="shared" si="90"/>
        <v>8</v>
      </c>
      <c r="V144" s="345">
        <f t="shared" si="90"/>
        <v>8</v>
      </c>
      <c r="W144" s="341"/>
      <c r="X144" s="345">
        <f t="shared" si="91"/>
        <v>8</v>
      </c>
      <c r="Y144" s="345">
        <f t="shared" si="91"/>
        <v>8</v>
      </c>
      <c r="Z144" s="345">
        <f t="shared" si="91"/>
        <v>8</v>
      </c>
      <c r="AA144" s="345">
        <f t="shared" si="91"/>
        <v>8</v>
      </c>
      <c r="AB144" s="341"/>
      <c r="AC144" s="345">
        <f t="shared" si="92"/>
        <v>4</v>
      </c>
      <c r="AD144" s="345">
        <f t="shared" si="92"/>
        <v>4</v>
      </c>
      <c r="AE144" s="345">
        <f t="shared" si="92"/>
        <v>4</v>
      </c>
      <c r="AF144" s="345">
        <f t="shared" si="92"/>
        <v>4</v>
      </c>
      <c r="AG144" s="345">
        <f t="shared" si="92"/>
        <v>1</v>
      </c>
      <c r="AH144" s="341"/>
      <c r="AI144" s="341"/>
      <c r="AJ144" s="341"/>
      <c r="AK144" s="341"/>
      <c r="AL144" s="341"/>
      <c r="AM144" s="341"/>
      <c r="AN144" s="341"/>
      <c r="AO144" s="341"/>
    </row>
    <row r="145" spans="3:41" x14ac:dyDescent="0.35">
      <c r="C145" s="24"/>
      <c r="D145"/>
      <c r="E145"/>
      <c r="J145" s="153"/>
      <c r="K145" s="153"/>
      <c r="L145" s="153"/>
      <c r="M145" s="319"/>
      <c r="N145" s="153"/>
      <c r="O145" s="153"/>
      <c r="P145" s="153"/>
      <c r="Q145" s="153"/>
      <c r="R145" s="153"/>
      <c r="S145" s="319"/>
      <c r="T145" s="153"/>
      <c r="U145" s="153"/>
      <c r="V145" s="153"/>
      <c r="W145" s="153"/>
      <c r="X145" s="319"/>
      <c r="Y145" s="153"/>
      <c r="Z145" s="153"/>
      <c r="AA145" s="153"/>
      <c r="AB145" s="153"/>
      <c r="AC145" s="319"/>
      <c r="AD145" s="153"/>
      <c r="AE145" s="153"/>
      <c r="AF145" s="153"/>
      <c r="AG145" s="153"/>
      <c r="AH145" s="153"/>
      <c r="AI145" s="153"/>
      <c r="AJ145" s="153"/>
      <c r="AK145" s="153"/>
      <c r="AL145" s="153"/>
      <c r="AM145" s="153"/>
      <c r="AN145" s="153"/>
      <c r="AO145" s="153"/>
    </row>
    <row r="146" spans="3:41" x14ac:dyDescent="0.35">
      <c r="C146" s="24"/>
      <c r="D146"/>
      <c r="E146" t="s">
        <v>1010</v>
      </c>
      <c r="J146" s="319">
        <f>MAX(J137:J144)</f>
        <v>1</v>
      </c>
      <c r="K146" s="339"/>
      <c r="L146" s="339"/>
      <c r="M146" s="319">
        <f t="shared" ref="M146:P146" si="93">MAX(M137:M144)</f>
        <v>4</v>
      </c>
      <c r="N146" s="319">
        <f t="shared" si="93"/>
        <v>4</v>
      </c>
      <c r="O146" s="319">
        <f t="shared" si="93"/>
        <v>4</v>
      </c>
      <c r="P146" s="319">
        <f t="shared" si="93"/>
        <v>4</v>
      </c>
      <c r="Q146" s="339"/>
      <c r="R146" s="339"/>
      <c r="S146" s="319">
        <f t="shared" ref="S146:V146" si="94">MAX(S137:S144)</f>
        <v>8</v>
      </c>
      <c r="T146" s="319">
        <f t="shared" si="94"/>
        <v>8</v>
      </c>
      <c r="U146" s="319">
        <f t="shared" si="94"/>
        <v>8</v>
      </c>
      <c r="V146" s="319">
        <f t="shared" si="94"/>
        <v>8</v>
      </c>
      <c r="W146" s="339"/>
      <c r="X146" s="319">
        <f t="shared" ref="X146:AA146" si="95">MAX(X137:X144)</f>
        <v>8</v>
      </c>
      <c r="Y146" s="319">
        <f t="shared" si="95"/>
        <v>8</v>
      </c>
      <c r="Z146" s="319">
        <f t="shared" si="95"/>
        <v>8</v>
      </c>
      <c r="AA146" s="319">
        <f t="shared" si="95"/>
        <v>8</v>
      </c>
      <c r="AB146" s="339"/>
      <c r="AC146" s="319">
        <f t="shared" ref="AC146:AG146" si="96">MAX(AC137:AC144)</f>
        <v>4</v>
      </c>
      <c r="AD146" s="319">
        <f t="shared" si="96"/>
        <v>4</v>
      </c>
      <c r="AE146" s="319">
        <f t="shared" si="96"/>
        <v>4</v>
      </c>
      <c r="AF146" s="319">
        <f t="shared" si="96"/>
        <v>4</v>
      </c>
      <c r="AG146" s="319">
        <f t="shared" si="96"/>
        <v>1</v>
      </c>
      <c r="AH146" s="339"/>
      <c r="AI146" s="339"/>
      <c r="AJ146" s="339"/>
      <c r="AK146" s="339"/>
      <c r="AL146" s="339"/>
      <c r="AM146" s="339"/>
      <c r="AN146" s="339"/>
      <c r="AO146" s="339"/>
    </row>
    <row r="147" spans="3:41" x14ac:dyDescent="0.35">
      <c r="C147" s="24"/>
      <c r="D147"/>
      <c r="E147"/>
      <c r="J147" s="153"/>
      <c r="K147" s="153"/>
      <c r="L147" s="153"/>
      <c r="M147" s="319"/>
      <c r="N147" s="153"/>
      <c r="O147" s="153"/>
      <c r="P147" s="153"/>
      <c r="Q147" s="153"/>
      <c r="R147" s="153"/>
      <c r="S147" s="319"/>
      <c r="T147" s="153"/>
      <c r="U147" s="153"/>
      <c r="V147" s="153"/>
      <c r="W147" s="153"/>
      <c r="X147" s="319"/>
      <c r="Y147" s="153"/>
      <c r="Z147" s="153"/>
      <c r="AA147" s="153"/>
      <c r="AB147" s="153"/>
      <c r="AC147" s="319"/>
      <c r="AD147" s="153"/>
      <c r="AE147" s="153"/>
      <c r="AF147" s="153"/>
      <c r="AG147" s="153"/>
      <c r="AH147" s="153"/>
      <c r="AI147" s="153"/>
      <c r="AJ147" s="153"/>
      <c r="AK147" s="153"/>
      <c r="AL147" s="153"/>
      <c r="AM147" s="153"/>
      <c r="AN147" s="153"/>
      <c r="AO147" s="153"/>
    </row>
    <row r="148" spans="3:41" x14ac:dyDescent="0.35">
      <c r="C148" s="24"/>
      <c r="D148"/>
      <c r="E148" t="s">
        <v>1009</v>
      </c>
      <c r="G148" t="s">
        <v>149</v>
      </c>
      <c r="J148" s="319">
        <f t="array" ref="J148">MATCH(TRUE, J137:J144=J146, 0)</f>
        <v>1</v>
      </c>
      <c r="K148" s="319">
        <f t="array" ref="K148">MATCH(TRUE, K137:K144=K146, 0)</f>
        <v>1</v>
      </c>
      <c r="L148" s="319">
        <f t="array" ref="L148">MATCH(TRUE, L137:L144=L146, 0)</f>
        <v>1</v>
      </c>
      <c r="M148" s="319">
        <f t="array" ref="M148">MATCH(TRUE, M137:M144=M146, 0)</f>
        <v>1</v>
      </c>
      <c r="N148" s="319">
        <f t="array" ref="N148">MATCH(TRUE, N137:N144=N146, 0)</f>
        <v>1</v>
      </c>
      <c r="O148" s="319">
        <f t="array" ref="O148">MATCH(TRUE, O137:O144=O146, 0)</f>
        <v>1</v>
      </c>
      <c r="P148" s="319">
        <f t="array" ref="P148">MATCH(TRUE, P137:P144=P146, 0)</f>
        <v>1</v>
      </c>
      <c r="Q148" s="319">
        <f t="array" ref="Q148">MATCH(TRUE, Q137:Q144=Q146, 0)</f>
        <v>1</v>
      </c>
      <c r="R148" s="319">
        <f t="array" ref="R148">MATCH(TRUE, R137:R144=R146, 0)</f>
        <v>1</v>
      </c>
      <c r="S148" s="319">
        <f t="array" ref="S148">MATCH(TRUE, S137:S144=S146, 0)</f>
        <v>1</v>
      </c>
      <c r="T148" s="319">
        <f t="array" ref="T148">MATCH(TRUE, T137:T144=T146, 0)</f>
        <v>1</v>
      </c>
      <c r="U148" s="319">
        <f t="array" ref="U148">MATCH(TRUE, U137:U144=U146, 0)</f>
        <v>1</v>
      </c>
      <c r="V148" s="319">
        <f t="array" ref="V148">MATCH(TRUE, V137:V144=V146, 0)</f>
        <v>1</v>
      </c>
      <c r="W148" s="319">
        <f t="array" ref="W148">MATCH(TRUE, W137:W144=W146, 0)</f>
        <v>1</v>
      </c>
      <c r="X148" s="319">
        <f t="array" ref="X148">MATCH(TRUE, X137:X144=X146, 0)</f>
        <v>1</v>
      </c>
      <c r="Y148" s="319">
        <f t="array" ref="Y148">MATCH(TRUE, Y137:Y144=Y146, 0)</f>
        <v>1</v>
      </c>
      <c r="Z148" s="319">
        <f t="array" ref="Z148">MATCH(TRUE, Z137:Z144=Z146, 0)</f>
        <v>1</v>
      </c>
      <c r="AA148" s="319">
        <f t="array" ref="AA148">MATCH(TRUE, AA137:AA144=AA146, 0)</f>
        <v>1</v>
      </c>
      <c r="AB148" s="319">
        <f t="array" ref="AB148">MATCH(TRUE, AB137:AB144=AB146, 0)</f>
        <v>1</v>
      </c>
      <c r="AC148" s="319">
        <f t="array" ref="AC148">MATCH(TRUE, AC137:AC144=AC146, 0)</f>
        <v>1</v>
      </c>
      <c r="AD148" s="319">
        <f t="array" ref="AD148">MATCH(TRUE, AD137:AD144=AD146, 0)</f>
        <v>1</v>
      </c>
      <c r="AE148" s="319">
        <f t="array" ref="AE148">MATCH(TRUE, AE137:AE144=AE146, 0)</f>
        <v>1</v>
      </c>
      <c r="AF148" s="319">
        <f t="array" ref="AF148">MATCH(TRUE, AF137:AF144=AF146, 0)</f>
        <v>1</v>
      </c>
      <c r="AG148" s="319">
        <f t="array" ref="AG148">MATCH(TRUE, AG137:AG144=AG146, 0)</f>
        <v>1</v>
      </c>
      <c r="AH148" s="319">
        <f t="array" ref="AH148">MATCH(TRUE, AH137:AH144=AH146, 0)</f>
        <v>1</v>
      </c>
      <c r="AI148" s="319">
        <f t="array" ref="AI148">MATCH(TRUE, AI137:AI144=AI146, 0)</f>
        <v>1</v>
      </c>
      <c r="AJ148" s="319">
        <f t="array" ref="AJ148">MATCH(TRUE, AJ137:AJ144=AJ146, 0)</f>
        <v>1</v>
      </c>
      <c r="AK148" s="319">
        <f t="array" ref="AK148">MATCH(TRUE, AK137:AK144=AK146, 0)</f>
        <v>1</v>
      </c>
      <c r="AL148" s="319">
        <f t="array" ref="AL148">MATCH(TRUE, AL137:AL144=AL146, 0)</f>
        <v>1</v>
      </c>
      <c r="AM148" s="319">
        <f t="array" ref="AM148">MATCH(TRUE, AM137:AM144=AM146, 0)</f>
        <v>1</v>
      </c>
      <c r="AN148" s="319">
        <f t="array" ref="AN148">MATCH(TRUE, AN137:AN144=AN146, 0)</f>
        <v>1</v>
      </c>
      <c r="AO148" s="319">
        <f t="array" ref="AO148">MATCH(TRUE, AO137:AO144=AO146, 0)</f>
        <v>1</v>
      </c>
    </row>
    <row r="149" spans="3:41" x14ac:dyDescent="0.35">
      <c r="C149" s="24"/>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row>
    <row r="150" spans="3:41" x14ac:dyDescent="0.35">
      <c r="C150" s="24"/>
      <c r="E150" t="s">
        <v>1018</v>
      </c>
      <c r="G150" t="s">
        <v>149</v>
      </c>
      <c r="J150" s="362">
        <f>INDEX(J105:J112,J$148)</f>
        <v>1</v>
      </c>
      <c r="K150" s="362">
        <f t="shared" ref="K150:AO150" si="97">INDEX(K105:K112,K$148)</f>
        <v>0</v>
      </c>
      <c r="L150" s="362">
        <f t="shared" si="97"/>
        <v>0</v>
      </c>
      <c r="M150" s="362">
        <f t="shared" si="97"/>
        <v>5</v>
      </c>
      <c r="N150" s="362">
        <f t="shared" si="97"/>
        <v>6</v>
      </c>
      <c r="O150" s="362">
        <f t="shared" si="97"/>
        <v>7</v>
      </c>
      <c r="P150" s="362">
        <f t="shared" si="97"/>
        <v>8</v>
      </c>
      <c r="Q150" s="362">
        <f t="shared" si="97"/>
        <v>0</v>
      </c>
      <c r="R150" s="362">
        <f t="shared" si="97"/>
        <v>0</v>
      </c>
      <c r="S150" s="362">
        <f t="shared" si="97"/>
        <v>9</v>
      </c>
      <c r="T150" s="362">
        <f t="shared" si="97"/>
        <v>10</v>
      </c>
      <c r="U150" s="362">
        <f t="shared" si="97"/>
        <v>11</v>
      </c>
      <c r="V150" s="362">
        <f t="shared" si="97"/>
        <v>12</v>
      </c>
      <c r="W150" s="362">
        <f t="shared" si="97"/>
        <v>0</v>
      </c>
      <c r="X150" s="362">
        <f t="shared" si="97"/>
        <v>9</v>
      </c>
      <c r="Y150" s="362">
        <f t="shared" si="97"/>
        <v>10</v>
      </c>
      <c r="Z150" s="362">
        <f t="shared" si="97"/>
        <v>11</v>
      </c>
      <c r="AA150" s="362">
        <f t="shared" si="97"/>
        <v>12</v>
      </c>
      <c r="AB150" s="362">
        <f t="shared" si="97"/>
        <v>0</v>
      </c>
      <c r="AC150" s="362">
        <f t="shared" si="97"/>
        <v>13</v>
      </c>
      <c r="AD150" s="362">
        <f t="shared" si="97"/>
        <v>14</v>
      </c>
      <c r="AE150" s="362">
        <f t="shared" si="97"/>
        <v>15</v>
      </c>
      <c r="AF150" s="362">
        <f t="shared" si="97"/>
        <v>16</v>
      </c>
      <c r="AG150" s="362">
        <f t="shared" si="97"/>
        <v>17</v>
      </c>
      <c r="AH150" s="362">
        <f t="shared" si="97"/>
        <v>0</v>
      </c>
      <c r="AI150" s="362">
        <f t="shared" si="97"/>
        <v>0</v>
      </c>
      <c r="AJ150" s="362">
        <f t="shared" si="97"/>
        <v>0</v>
      </c>
      <c r="AK150" s="362">
        <f t="shared" si="97"/>
        <v>0</v>
      </c>
      <c r="AL150" s="362">
        <f t="shared" si="97"/>
        <v>0</v>
      </c>
      <c r="AM150" s="362">
        <f t="shared" si="97"/>
        <v>0</v>
      </c>
      <c r="AN150" s="362">
        <f t="shared" si="97"/>
        <v>0</v>
      </c>
      <c r="AO150" s="362">
        <f t="shared" si="97"/>
        <v>0</v>
      </c>
    </row>
    <row r="151" spans="3:41" x14ac:dyDescent="0.35">
      <c r="C151" s="24"/>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row>
    <row r="152" spans="3:41" x14ac:dyDescent="0.35">
      <c r="C152" s="26" t="str">
        <f ca="1">INDEX('Version control'!$H$38:$H$61,MATCH($A$1,'Version control'!$F$38:$F$61,0),1)&amp;"-D: Calculating MPANs for matching"</f>
        <v>Section 116-D: Calculating MPANs for matching</v>
      </c>
      <c r="D152" s="26"/>
      <c r="E152" s="26"/>
      <c r="F152" s="26"/>
      <c r="G152" s="26"/>
      <c r="H152" s="26"/>
      <c r="I152" s="26"/>
      <c r="J152" s="179"/>
      <c r="K152" s="179"/>
      <c r="L152" s="179"/>
      <c r="M152" s="179"/>
      <c r="N152" s="179"/>
      <c r="O152" s="179"/>
      <c r="P152" s="179"/>
      <c r="Q152" s="179"/>
      <c r="R152" s="179"/>
      <c r="S152" s="179"/>
      <c r="T152" s="179"/>
      <c r="U152" s="179"/>
      <c r="V152" s="179"/>
      <c r="W152" s="179"/>
      <c r="X152" s="179"/>
      <c r="Y152" s="179"/>
      <c r="Z152" s="179"/>
      <c r="AA152" s="179"/>
      <c r="AB152" s="179"/>
      <c r="AC152" s="179"/>
      <c r="AD152" s="179"/>
      <c r="AE152" s="179"/>
      <c r="AF152" s="179"/>
      <c r="AG152" s="179"/>
      <c r="AH152" s="179"/>
      <c r="AI152" s="179"/>
      <c r="AJ152" s="179"/>
      <c r="AK152" s="179"/>
      <c r="AL152" s="179"/>
      <c r="AM152" s="179"/>
      <c r="AN152" s="179"/>
      <c r="AO152" s="179"/>
    </row>
    <row r="153" spans="3:41" x14ac:dyDescent="0.35">
      <c r="C153" s="24"/>
      <c r="D153"/>
      <c r="E153"/>
      <c r="J153" s="153"/>
      <c r="K153" s="153"/>
      <c r="L153" s="153"/>
      <c r="M153" s="153"/>
      <c r="N153" s="153"/>
      <c r="O153" s="153"/>
      <c r="P153" s="153"/>
      <c r="Q153" s="153"/>
      <c r="R153" s="153"/>
      <c r="S153" s="153"/>
      <c r="T153" s="153"/>
      <c r="U153" s="153"/>
      <c r="V153" s="153"/>
      <c r="W153" s="153"/>
      <c r="X153" s="153"/>
      <c r="Y153" s="153"/>
      <c r="Z153" s="153"/>
      <c r="AA153" s="153"/>
      <c r="AB153" s="153"/>
      <c r="AC153" s="153"/>
      <c r="AD153" s="153"/>
      <c r="AE153" s="153"/>
      <c r="AF153" s="153"/>
      <c r="AG153" s="153"/>
      <c r="AH153" s="153"/>
      <c r="AI153" s="153"/>
      <c r="AJ153" s="153"/>
      <c r="AK153" s="153"/>
      <c r="AL153" s="153"/>
      <c r="AM153" s="153"/>
      <c r="AN153" s="153"/>
      <c r="AO153" s="153"/>
    </row>
    <row r="154" spans="3:41" x14ac:dyDescent="0.35">
      <c r="C154" s="24"/>
      <c r="D154"/>
      <c r="E154" t="s">
        <v>1027</v>
      </c>
      <c r="G154" t="s">
        <v>212</v>
      </c>
      <c r="J154" s="153">
        <f t="shared" ref="J154:AO154" si="98">IF(J32, J56, 0)</f>
        <v>2963525.8662584159</v>
      </c>
      <c r="K154" s="153">
        <f t="shared" si="98"/>
        <v>0</v>
      </c>
      <c r="L154" s="153">
        <f t="shared" si="98"/>
        <v>0</v>
      </c>
      <c r="M154" s="153">
        <f t="shared" si="98"/>
        <v>90865.523119522884</v>
      </c>
      <c r="N154" s="153">
        <f t="shared" si="98"/>
        <v>68645.571071950631</v>
      </c>
      <c r="O154" s="153">
        <f t="shared" si="98"/>
        <v>35687.206127422673</v>
      </c>
      <c r="P154" s="153">
        <f t="shared" si="98"/>
        <v>34298.531030187536</v>
      </c>
      <c r="Q154" s="153">
        <f t="shared" si="98"/>
        <v>0</v>
      </c>
      <c r="R154" s="153">
        <f t="shared" si="98"/>
        <v>0</v>
      </c>
      <c r="S154" s="153">
        <f t="shared" si="98"/>
        <v>10394.009490196551</v>
      </c>
      <c r="T154" s="153">
        <f t="shared" si="98"/>
        <v>6115.2119452849101</v>
      </c>
      <c r="U154" s="153">
        <f t="shared" si="98"/>
        <v>2929.0665415420949</v>
      </c>
      <c r="V154" s="153">
        <f t="shared" si="98"/>
        <v>3944.2612247361913</v>
      </c>
      <c r="W154" s="153">
        <f t="shared" si="98"/>
        <v>0</v>
      </c>
      <c r="X154" s="153">
        <f t="shared" si="98"/>
        <v>23.34697201955592</v>
      </c>
      <c r="Y154" s="153">
        <f t="shared" si="98"/>
        <v>45.082169622189987</v>
      </c>
      <c r="Z154" s="153">
        <f t="shared" si="98"/>
        <v>55.40779918915063</v>
      </c>
      <c r="AA154" s="153">
        <f t="shared" si="98"/>
        <v>224.73721006017257</v>
      </c>
      <c r="AB154" s="153">
        <f t="shared" si="98"/>
        <v>0</v>
      </c>
      <c r="AC154" s="153">
        <f t="shared" si="98"/>
        <v>483.92215384591685</v>
      </c>
      <c r="AD154" s="153">
        <f t="shared" si="98"/>
        <v>697.58818327134566</v>
      </c>
      <c r="AE154" s="153">
        <f t="shared" si="98"/>
        <v>279.74459135180666</v>
      </c>
      <c r="AF154" s="153">
        <f t="shared" si="98"/>
        <v>315.87508664769206</v>
      </c>
      <c r="AG154" s="153">
        <f t="shared" si="98"/>
        <v>4144.2452439404015</v>
      </c>
      <c r="AH154" s="153">
        <f t="shared" si="98"/>
        <v>0</v>
      </c>
      <c r="AI154" s="153">
        <f t="shared" si="98"/>
        <v>0</v>
      </c>
      <c r="AJ154" s="153">
        <f t="shared" si="98"/>
        <v>0</v>
      </c>
      <c r="AK154" s="153">
        <f t="shared" si="98"/>
        <v>0</v>
      </c>
      <c r="AL154" s="153">
        <f t="shared" si="98"/>
        <v>0</v>
      </c>
      <c r="AM154" s="153">
        <f t="shared" si="98"/>
        <v>0</v>
      </c>
      <c r="AN154" s="153">
        <f t="shared" si="98"/>
        <v>0</v>
      </c>
      <c r="AO154" s="153">
        <f t="shared" si="98"/>
        <v>0</v>
      </c>
    </row>
    <row r="155" spans="3:41" x14ac:dyDescent="0.35">
      <c r="C155" s="24"/>
      <c r="D155"/>
      <c r="E155"/>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row>
    <row r="156" spans="3:41" x14ac:dyDescent="0.35">
      <c r="C156" s="24"/>
      <c r="D156"/>
      <c r="E156" t="s">
        <v>1024</v>
      </c>
      <c r="G156" t="s">
        <v>212</v>
      </c>
      <c r="J156" s="153">
        <f t="shared" ref="J156:AO156" si="99">SUMIF($J$150:$AO$150,J150,$J$154:$AO$154)</f>
        <v>2963525.8662584159</v>
      </c>
      <c r="K156" s="153">
        <f t="shared" si="99"/>
        <v>0</v>
      </c>
      <c r="L156" s="153">
        <f t="shared" si="99"/>
        <v>0</v>
      </c>
      <c r="M156" s="153">
        <f t="shared" si="99"/>
        <v>90865.523119522884</v>
      </c>
      <c r="N156" s="153">
        <f t="shared" si="99"/>
        <v>68645.571071950631</v>
      </c>
      <c r="O156" s="153">
        <f t="shared" si="99"/>
        <v>35687.206127422673</v>
      </c>
      <c r="P156" s="153">
        <f t="shared" si="99"/>
        <v>34298.531030187536</v>
      </c>
      <c r="Q156" s="153">
        <f t="shared" si="99"/>
        <v>0</v>
      </c>
      <c r="R156" s="153">
        <f t="shared" si="99"/>
        <v>0</v>
      </c>
      <c r="S156" s="153">
        <f t="shared" si="99"/>
        <v>10417.356462216107</v>
      </c>
      <c r="T156" s="153">
        <f t="shared" si="99"/>
        <v>6160.2941149071003</v>
      </c>
      <c r="U156" s="153">
        <f t="shared" si="99"/>
        <v>2984.4743407312453</v>
      </c>
      <c r="V156" s="153">
        <f t="shared" si="99"/>
        <v>4168.9984347963637</v>
      </c>
      <c r="W156" s="153">
        <f t="shared" si="99"/>
        <v>0</v>
      </c>
      <c r="X156" s="153">
        <f t="shared" si="99"/>
        <v>10417.356462216107</v>
      </c>
      <c r="Y156" s="153">
        <f t="shared" si="99"/>
        <v>6160.2941149071003</v>
      </c>
      <c r="Z156" s="153">
        <f t="shared" si="99"/>
        <v>2984.4743407312453</v>
      </c>
      <c r="AA156" s="153">
        <f t="shared" si="99"/>
        <v>4168.9984347963637</v>
      </c>
      <c r="AB156" s="153">
        <f t="shared" si="99"/>
        <v>0</v>
      </c>
      <c r="AC156" s="153">
        <f t="shared" si="99"/>
        <v>483.92215384591685</v>
      </c>
      <c r="AD156" s="153">
        <f t="shared" si="99"/>
        <v>697.58818327134566</v>
      </c>
      <c r="AE156" s="153">
        <f t="shared" si="99"/>
        <v>279.74459135180666</v>
      </c>
      <c r="AF156" s="153">
        <f t="shared" si="99"/>
        <v>315.87508664769206</v>
      </c>
      <c r="AG156" s="153">
        <f t="shared" si="99"/>
        <v>4144.2452439404015</v>
      </c>
      <c r="AH156" s="153">
        <f t="shared" si="99"/>
        <v>0</v>
      </c>
      <c r="AI156" s="153">
        <f t="shared" si="99"/>
        <v>0</v>
      </c>
      <c r="AJ156" s="153">
        <f t="shared" si="99"/>
        <v>0</v>
      </c>
      <c r="AK156" s="153">
        <f t="shared" si="99"/>
        <v>0</v>
      </c>
      <c r="AL156" s="153">
        <f t="shared" si="99"/>
        <v>0</v>
      </c>
      <c r="AM156" s="153">
        <f t="shared" si="99"/>
        <v>0</v>
      </c>
      <c r="AN156" s="153">
        <f t="shared" si="99"/>
        <v>0</v>
      </c>
      <c r="AO156" s="153">
        <f t="shared" si="99"/>
        <v>0</v>
      </c>
    </row>
    <row r="157" spans="3:41" x14ac:dyDescent="0.35">
      <c r="C157" s="24"/>
      <c r="D157"/>
      <c r="E157"/>
      <c r="J157" s="153"/>
      <c r="K157" s="153"/>
      <c r="L157" s="153"/>
      <c r="M157" s="153"/>
      <c r="N157" s="153"/>
      <c r="O157" s="153"/>
      <c r="P157" s="153"/>
      <c r="Q157" s="153"/>
      <c r="R157" s="153"/>
      <c r="S157" s="153"/>
      <c r="T157" s="153"/>
      <c r="U157" s="153"/>
      <c r="V157" s="153"/>
      <c r="W157" s="153"/>
      <c r="X157" s="153"/>
      <c r="Y157" s="153"/>
      <c r="Z157" s="153"/>
      <c r="AA157" s="153"/>
      <c r="AB157" s="153"/>
      <c r="AC157" s="153"/>
      <c r="AD157" s="153"/>
      <c r="AE157" s="153"/>
      <c r="AF157" s="153"/>
      <c r="AG157" s="153"/>
      <c r="AH157" s="153"/>
      <c r="AI157" s="153"/>
      <c r="AJ157" s="153"/>
      <c r="AK157" s="153"/>
      <c r="AL157" s="153"/>
      <c r="AM157" s="153"/>
      <c r="AN157" s="153"/>
      <c r="AO157" s="153"/>
    </row>
    <row r="158" spans="3:41" x14ac:dyDescent="0.35">
      <c r="C158" s="24"/>
      <c r="D158"/>
      <c r="E158" t="s">
        <v>1133</v>
      </c>
      <c r="G158" t="s">
        <v>167</v>
      </c>
      <c r="J158" s="376">
        <f>IF(J156&lt;&gt;0,J154/J156,0)</f>
        <v>1</v>
      </c>
      <c r="K158" s="376">
        <f t="shared" ref="K158:AO158" si="100">IF(K156&lt;&gt;0,K154/K156,0)</f>
        <v>0</v>
      </c>
      <c r="L158" s="376">
        <f t="shared" si="100"/>
        <v>0</v>
      </c>
      <c r="M158" s="376">
        <f t="shared" si="100"/>
        <v>1</v>
      </c>
      <c r="N158" s="376">
        <f t="shared" si="100"/>
        <v>1</v>
      </c>
      <c r="O158" s="376">
        <f t="shared" si="100"/>
        <v>1</v>
      </c>
      <c r="P158" s="376">
        <f t="shared" si="100"/>
        <v>1</v>
      </c>
      <c r="Q158" s="376">
        <f t="shared" si="100"/>
        <v>0</v>
      </c>
      <c r="R158" s="376">
        <f t="shared" si="100"/>
        <v>0</v>
      </c>
      <c r="S158" s="376">
        <f t="shared" si="100"/>
        <v>0.9977588390966331</v>
      </c>
      <c r="T158" s="376">
        <f t="shared" si="100"/>
        <v>0.9926818153839283</v>
      </c>
      <c r="U158" s="376">
        <f t="shared" si="100"/>
        <v>0.98143465385747808</v>
      </c>
      <c r="V158" s="376">
        <f t="shared" si="100"/>
        <v>0.94609323712275517</v>
      </c>
      <c r="W158" s="376">
        <f t="shared" si="100"/>
        <v>0</v>
      </c>
      <c r="X158" s="376">
        <f t="shared" si="100"/>
        <v>2.2411609033669631E-3</v>
      </c>
      <c r="Y158" s="376">
        <f t="shared" si="100"/>
        <v>7.3181846160716704E-3</v>
      </c>
      <c r="Z158" s="376">
        <f t="shared" si="100"/>
        <v>1.8565346142521973E-2</v>
      </c>
      <c r="AA158" s="376">
        <f t="shared" si="100"/>
        <v>5.3906762877244864E-2</v>
      </c>
      <c r="AB158" s="376">
        <f t="shared" si="100"/>
        <v>0</v>
      </c>
      <c r="AC158" s="376">
        <f t="shared" si="100"/>
        <v>1</v>
      </c>
      <c r="AD158" s="376">
        <f t="shared" si="100"/>
        <v>1</v>
      </c>
      <c r="AE158" s="376">
        <f t="shared" si="100"/>
        <v>1</v>
      </c>
      <c r="AF158" s="376">
        <f t="shared" si="100"/>
        <v>1</v>
      </c>
      <c r="AG158" s="376">
        <f t="shared" si="100"/>
        <v>1</v>
      </c>
      <c r="AH158" s="376">
        <f t="shared" si="100"/>
        <v>0</v>
      </c>
      <c r="AI158" s="376">
        <f t="shared" si="100"/>
        <v>0</v>
      </c>
      <c r="AJ158" s="376">
        <f t="shared" si="100"/>
        <v>0</v>
      </c>
      <c r="AK158" s="376">
        <f t="shared" si="100"/>
        <v>0</v>
      </c>
      <c r="AL158" s="376">
        <f t="shared" si="100"/>
        <v>0</v>
      </c>
      <c r="AM158" s="376">
        <f t="shared" si="100"/>
        <v>0</v>
      </c>
      <c r="AN158" s="376">
        <f t="shared" si="100"/>
        <v>0</v>
      </c>
      <c r="AO158" s="376">
        <f t="shared" si="100"/>
        <v>0</v>
      </c>
    </row>
    <row r="159" spans="3:41" x14ac:dyDescent="0.35">
      <c r="C159" s="24"/>
      <c r="D159"/>
      <c r="E159"/>
      <c r="J159" s="153"/>
      <c r="K159" s="153"/>
      <c r="L159" s="153"/>
      <c r="M159" s="153"/>
      <c r="N159" s="153"/>
      <c r="O159" s="153"/>
      <c r="P159" s="153"/>
      <c r="Q159" s="153"/>
      <c r="R159" s="153"/>
      <c r="S159" s="153"/>
      <c r="T159" s="153"/>
      <c r="U159" s="153"/>
      <c r="V159" s="153"/>
      <c r="W159" s="153"/>
      <c r="X159" s="153"/>
      <c r="Y159" s="153"/>
      <c r="Z159" s="153"/>
      <c r="AA159" s="153"/>
      <c r="AB159" s="153"/>
      <c r="AC159" s="153"/>
      <c r="AD159" s="153"/>
      <c r="AE159" s="153"/>
      <c r="AF159" s="153"/>
      <c r="AG159" s="153"/>
      <c r="AH159" s="153"/>
      <c r="AI159" s="153"/>
      <c r="AJ159" s="153"/>
      <c r="AK159" s="153"/>
      <c r="AL159" s="153"/>
      <c r="AM159" s="153"/>
      <c r="AN159" s="153"/>
      <c r="AO159" s="153"/>
    </row>
    <row r="160" spans="3:41" x14ac:dyDescent="0.35">
      <c r="C160" s="26" t="str">
        <f ca="1">INDEX('Version control'!$H$38:$H$61,MATCH($A$1,'Version control'!$F$38:$F$61,0),1)&amp;"-E: Calculating unit volumes for matching"</f>
        <v>Section 116-E: Calculating unit volumes for matching</v>
      </c>
      <c r="D160" s="26"/>
      <c r="E160" s="26"/>
      <c r="F160" s="26"/>
      <c r="G160" s="26"/>
      <c r="H160" s="26"/>
      <c r="I160" s="26"/>
      <c r="J160" s="179"/>
      <c r="K160" s="179"/>
      <c r="L160" s="179"/>
      <c r="M160" s="179"/>
      <c r="N160" s="179"/>
      <c r="O160" s="179"/>
      <c r="P160" s="179"/>
      <c r="Q160" s="179"/>
      <c r="R160" s="179"/>
      <c r="S160" s="179"/>
      <c r="T160" s="179"/>
      <c r="U160" s="179"/>
      <c r="V160" s="179"/>
      <c r="W160" s="179"/>
      <c r="X160" s="179"/>
      <c r="Y160" s="179"/>
      <c r="Z160" s="179"/>
      <c r="AA160" s="179"/>
      <c r="AB160" s="179"/>
      <c r="AC160" s="179"/>
      <c r="AD160" s="179"/>
      <c r="AE160" s="179"/>
      <c r="AF160" s="179"/>
      <c r="AG160" s="179"/>
      <c r="AH160" s="179"/>
      <c r="AI160" s="179"/>
      <c r="AJ160" s="179"/>
      <c r="AK160" s="179"/>
      <c r="AL160" s="179"/>
      <c r="AM160" s="179"/>
      <c r="AN160" s="179"/>
      <c r="AO160" s="179"/>
    </row>
    <row r="161" spans="3:43" x14ac:dyDescent="0.35">
      <c r="C161" s="24"/>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row>
    <row r="162" spans="3:43" x14ac:dyDescent="0.35">
      <c r="C162" s="24"/>
      <c r="D162" s="24" t="s">
        <v>1143</v>
      </c>
      <c r="I162" t="s">
        <v>154</v>
      </c>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Q162" t="s">
        <v>1138</v>
      </c>
    </row>
    <row r="163" spans="3:43" x14ac:dyDescent="0.35">
      <c r="C163" s="24"/>
      <c r="D163" s="24" t="s">
        <v>1119</v>
      </c>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row>
    <row r="164" spans="3:43" x14ac:dyDescent="0.35">
      <c r="C164" s="24"/>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row>
    <row r="165" spans="3:43" x14ac:dyDescent="0.35">
      <c r="C165" s="24"/>
      <c r="D165"/>
      <c r="E165" t="s">
        <v>1019</v>
      </c>
      <c r="G165" t="s">
        <v>207</v>
      </c>
      <c r="J165" s="153">
        <f t="shared" ref="J165:AO165" si="101">SUM(J53:J55)</f>
        <v>9328991.7077366151</v>
      </c>
      <c r="K165" s="153">
        <f t="shared" si="101"/>
        <v>129251.33494997758</v>
      </c>
      <c r="L165" s="153">
        <f t="shared" si="101"/>
        <v>2803.232898043183</v>
      </c>
      <c r="M165" s="153">
        <f t="shared" si="101"/>
        <v>266291.15866502526</v>
      </c>
      <c r="N165" s="153">
        <f t="shared" si="101"/>
        <v>550723.0044872124</v>
      </c>
      <c r="O165" s="153">
        <f t="shared" si="101"/>
        <v>634052.25537577656</v>
      </c>
      <c r="P165" s="153">
        <f t="shared" si="101"/>
        <v>1713847.3095292631</v>
      </c>
      <c r="Q165" s="153">
        <f t="shared" si="101"/>
        <v>34108.86649888946</v>
      </c>
      <c r="R165" s="153">
        <f t="shared" si="101"/>
        <v>779.8183376302087</v>
      </c>
      <c r="S165" s="153">
        <f t="shared" si="101"/>
        <v>932388.86560116976</v>
      </c>
      <c r="T165" s="153">
        <f t="shared" si="101"/>
        <v>920304.09679342923</v>
      </c>
      <c r="U165" s="153">
        <f t="shared" si="101"/>
        <v>743651.04975773452</v>
      </c>
      <c r="V165" s="153">
        <f t="shared" si="101"/>
        <v>2437085.2368263919</v>
      </c>
      <c r="W165" s="153">
        <f t="shared" si="101"/>
        <v>0</v>
      </c>
      <c r="X165" s="153">
        <f t="shared" si="101"/>
        <v>9107.8345767012288</v>
      </c>
      <c r="Y165" s="153">
        <f t="shared" si="101"/>
        <v>13823.859745983489</v>
      </c>
      <c r="Z165" s="153">
        <f t="shared" si="101"/>
        <v>21368.93548679896</v>
      </c>
      <c r="AA165" s="153">
        <f t="shared" si="101"/>
        <v>268023.96890515543</v>
      </c>
      <c r="AB165" s="153">
        <f t="shared" si="101"/>
        <v>3950.3036467688162</v>
      </c>
      <c r="AC165" s="153">
        <f t="shared" si="101"/>
        <v>247123.16619763881</v>
      </c>
      <c r="AD165" s="153">
        <f t="shared" si="101"/>
        <v>923066.0474743715</v>
      </c>
      <c r="AE165" s="153">
        <f t="shared" si="101"/>
        <v>725091.48086939147</v>
      </c>
      <c r="AF165" s="153">
        <f t="shared" si="101"/>
        <v>2106613.4488998018</v>
      </c>
      <c r="AG165" s="153">
        <f t="shared" si="101"/>
        <v>185474.35808205561</v>
      </c>
      <c r="AH165" s="153">
        <f t="shared" si="101"/>
        <v>9853.9</v>
      </c>
      <c r="AI165" s="153">
        <f t="shared" si="101"/>
        <v>229.69699999999997</v>
      </c>
      <c r="AJ165" s="153">
        <f t="shared" si="101"/>
        <v>52430.946541874546</v>
      </c>
      <c r="AK165" s="153">
        <f t="shared" si="101"/>
        <v>0</v>
      </c>
      <c r="AL165" s="153">
        <f t="shared" si="101"/>
        <v>0</v>
      </c>
      <c r="AM165" s="153">
        <f t="shared" si="101"/>
        <v>0</v>
      </c>
      <c r="AN165" s="153">
        <f t="shared" si="101"/>
        <v>868285.21715778869</v>
      </c>
      <c r="AO165" s="153">
        <f t="shared" si="101"/>
        <v>0</v>
      </c>
    </row>
    <row r="166" spans="3:43" x14ac:dyDescent="0.35">
      <c r="C166" s="24"/>
      <c r="D166"/>
      <c r="E166"/>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row>
    <row r="167" spans="3:43" x14ac:dyDescent="0.35">
      <c r="C167" s="24"/>
      <c r="D167"/>
      <c r="E167" t="s">
        <v>1020</v>
      </c>
      <c r="G167" t="s">
        <v>207</v>
      </c>
      <c r="J167" s="153">
        <f t="shared" ref="J167:AO167" si="102">IF(J32,J165, 0)</f>
        <v>9328991.7077366151</v>
      </c>
      <c r="K167" s="153">
        <f t="shared" si="102"/>
        <v>0</v>
      </c>
      <c r="L167" s="153">
        <f t="shared" si="102"/>
        <v>0</v>
      </c>
      <c r="M167" s="153">
        <f t="shared" si="102"/>
        <v>266291.15866502526</v>
      </c>
      <c r="N167" s="153">
        <f t="shared" si="102"/>
        <v>550723.0044872124</v>
      </c>
      <c r="O167" s="153">
        <f t="shared" si="102"/>
        <v>634052.25537577656</v>
      </c>
      <c r="P167" s="153">
        <f t="shared" si="102"/>
        <v>1713847.3095292631</v>
      </c>
      <c r="Q167" s="153">
        <f t="shared" si="102"/>
        <v>0</v>
      </c>
      <c r="R167" s="153">
        <f t="shared" si="102"/>
        <v>0</v>
      </c>
      <c r="S167" s="153">
        <f t="shared" si="102"/>
        <v>932388.86560116976</v>
      </c>
      <c r="T167" s="153">
        <f t="shared" si="102"/>
        <v>920304.09679342923</v>
      </c>
      <c r="U167" s="153">
        <f t="shared" si="102"/>
        <v>743651.04975773452</v>
      </c>
      <c r="V167" s="153">
        <f t="shared" si="102"/>
        <v>2437085.2368263919</v>
      </c>
      <c r="W167" s="153">
        <f t="shared" si="102"/>
        <v>0</v>
      </c>
      <c r="X167" s="153">
        <f t="shared" si="102"/>
        <v>9107.8345767012288</v>
      </c>
      <c r="Y167" s="153">
        <f t="shared" si="102"/>
        <v>13823.859745983489</v>
      </c>
      <c r="Z167" s="153">
        <f t="shared" si="102"/>
        <v>21368.93548679896</v>
      </c>
      <c r="AA167" s="153">
        <f t="shared" si="102"/>
        <v>268023.96890515543</v>
      </c>
      <c r="AB167" s="153">
        <f t="shared" si="102"/>
        <v>0</v>
      </c>
      <c r="AC167" s="153">
        <f t="shared" si="102"/>
        <v>247123.16619763881</v>
      </c>
      <c r="AD167" s="153">
        <f t="shared" si="102"/>
        <v>923066.0474743715</v>
      </c>
      <c r="AE167" s="153">
        <f t="shared" si="102"/>
        <v>725091.48086939147</v>
      </c>
      <c r="AF167" s="153">
        <f t="shared" si="102"/>
        <v>2106613.4488998018</v>
      </c>
      <c r="AG167" s="153">
        <f t="shared" si="102"/>
        <v>185474.35808205561</v>
      </c>
      <c r="AH167" s="153">
        <f t="shared" si="102"/>
        <v>0</v>
      </c>
      <c r="AI167" s="153">
        <f t="shared" si="102"/>
        <v>0</v>
      </c>
      <c r="AJ167" s="153">
        <f t="shared" si="102"/>
        <v>0</v>
      </c>
      <c r="AK167" s="153">
        <f t="shared" si="102"/>
        <v>0</v>
      </c>
      <c r="AL167" s="153">
        <f t="shared" si="102"/>
        <v>0</v>
      </c>
      <c r="AM167" s="153">
        <f t="shared" si="102"/>
        <v>0</v>
      </c>
      <c r="AN167" s="153">
        <f t="shared" si="102"/>
        <v>0</v>
      </c>
      <c r="AO167" s="153">
        <f t="shared" si="102"/>
        <v>0</v>
      </c>
    </row>
    <row r="168" spans="3:43" x14ac:dyDescent="0.35">
      <c r="C168" s="24"/>
      <c r="D168"/>
      <c r="E168"/>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row>
    <row r="169" spans="3:43" x14ac:dyDescent="0.35">
      <c r="C169" s="24"/>
      <c r="D169"/>
      <c r="E169" s="24" t="s">
        <v>1029</v>
      </c>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row>
    <row r="170" spans="3:43" x14ac:dyDescent="0.35">
      <c r="C170" s="24"/>
      <c r="D170"/>
      <c r="E170"/>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row>
    <row r="171" spans="3:43" x14ac:dyDescent="0.35">
      <c r="C171" s="24"/>
      <c r="D171"/>
      <c r="E171" t="s">
        <v>1014</v>
      </c>
      <c r="G171" t="s">
        <v>167</v>
      </c>
      <c r="J171" s="361">
        <v>1</v>
      </c>
      <c r="K171" s="56"/>
      <c r="L171" s="69"/>
      <c r="M171" s="398">
        <f>'Volume adjustments'!K689</f>
        <v>8.5088037030140562E-2</v>
      </c>
      <c r="N171" s="398">
        <f>'Volume adjustments'!L689</f>
        <v>0.17460937000665511</v>
      </c>
      <c r="O171" s="398">
        <f>'Volume adjustments'!M689</f>
        <v>0.20050542640690622</v>
      </c>
      <c r="P171" s="398">
        <f>'Volume adjustments'!N689</f>
        <v>0.53754218001959464</v>
      </c>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row>
    <row r="172" spans="3:43" x14ac:dyDescent="0.35">
      <c r="C172" s="24"/>
      <c r="D172"/>
      <c r="E172"/>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row>
    <row r="173" spans="3:43" x14ac:dyDescent="0.35">
      <c r="C173" s="24"/>
      <c r="D173"/>
      <c r="E173" t="s">
        <v>990</v>
      </c>
      <c r="G173" t="s">
        <v>207</v>
      </c>
      <c r="J173" s="153">
        <f>J171*$K165</f>
        <v>129251.33494997758</v>
      </c>
      <c r="K173" s="69"/>
      <c r="L173" s="69"/>
      <c r="M173" s="153">
        <f>M171*$Q165</f>
        <v>2902.2564957136274</v>
      </c>
      <c r="N173" s="153">
        <f>N171*$Q165</f>
        <v>5955.7276910121927</v>
      </c>
      <c r="O173" s="153">
        <f>O171*$Q165</f>
        <v>6839.0128216160692</v>
      </c>
      <c r="P173" s="153">
        <f>P171*$Q165</f>
        <v>18334.954455810359</v>
      </c>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row>
    <row r="174" spans="3:43" x14ac:dyDescent="0.35">
      <c r="C174" s="24"/>
      <c r="D174"/>
      <c r="E174"/>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row>
    <row r="175" spans="3:43" x14ac:dyDescent="0.35">
      <c r="C175" s="24"/>
      <c r="D175"/>
      <c r="E175" t="s">
        <v>1021</v>
      </c>
      <c r="G175" t="s">
        <v>207</v>
      </c>
      <c r="J175" s="153">
        <f t="shared" ref="J175:AO175" si="103">J167+J173</f>
        <v>9458243.0426865928</v>
      </c>
      <c r="K175" s="153">
        <f t="shared" si="103"/>
        <v>0</v>
      </c>
      <c r="L175" s="153">
        <f t="shared" si="103"/>
        <v>0</v>
      </c>
      <c r="M175" s="153">
        <f t="shared" si="103"/>
        <v>269193.41516073886</v>
      </c>
      <c r="N175" s="153">
        <f t="shared" si="103"/>
        <v>556678.7321782246</v>
      </c>
      <c r="O175" s="153">
        <f t="shared" si="103"/>
        <v>640891.26819739258</v>
      </c>
      <c r="P175" s="153">
        <f t="shared" si="103"/>
        <v>1732182.2639850734</v>
      </c>
      <c r="Q175" s="153">
        <f t="shared" si="103"/>
        <v>0</v>
      </c>
      <c r="R175" s="153">
        <f t="shared" si="103"/>
        <v>0</v>
      </c>
      <c r="S175" s="153">
        <f t="shared" si="103"/>
        <v>932388.86560116976</v>
      </c>
      <c r="T175" s="153">
        <f t="shared" si="103"/>
        <v>920304.09679342923</v>
      </c>
      <c r="U175" s="153">
        <f t="shared" si="103"/>
        <v>743651.04975773452</v>
      </c>
      <c r="V175" s="153">
        <f t="shared" si="103"/>
        <v>2437085.2368263919</v>
      </c>
      <c r="W175" s="153">
        <f t="shared" si="103"/>
        <v>0</v>
      </c>
      <c r="X175" s="153">
        <f t="shared" si="103"/>
        <v>9107.8345767012288</v>
      </c>
      <c r="Y175" s="153">
        <f t="shared" si="103"/>
        <v>13823.859745983489</v>
      </c>
      <c r="Z175" s="153">
        <f t="shared" si="103"/>
        <v>21368.93548679896</v>
      </c>
      <c r="AA175" s="153">
        <f t="shared" si="103"/>
        <v>268023.96890515543</v>
      </c>
      <c r="AB175" s="153">
        <f t="shared" si="103"/>
        <v>0</v>
      </c>
      <c r="AC175" s="153">
        <f t="shared" si="103"/>
        <v>247123.16619763881</v>
      </c>
      <c r="AD175" s="153">
        <f t="shared" si="103"/>
        <v>923066.0474743715</v>
      </c>
      <c r="AE175" s="153">
        <f t="shared" si="103"/>
        <v>725091.48086939147</v>
      </c>
      <c r="AF175" s="153">
        <f t="shared" si="103"/>
        <v>2106613.4488998018</v>
      </c>
      <c r="AG175" s="153">
        <f t="shared" si="103"/>
        <v>185474.35808205561</v>
      </c>
      <c r="AH175" s="153">
        <f t="shared" si="103"/>
        <v>0</v>
      </c>
      <c r="AI175" s="153">
        <f t="shared" si="103"/>
        <v>0</v>
      </c>
      <c r="AJ175" s="153">
        <f t="shared" si="103"/>
        <v>0</v>
      </c>
      <c r="AK175" s="153">
        <f t="shared" si="103"/>
        <v>0</v>
      </c>
      <c r="AL175" s="153">
        <f t="shared" si="103"/>
        <v>0</v>
      </c>
      <c r="AM175" s="153">
        <f t="shared" si="103"/>
        <v>0</v>
      </c>
      <c r="AN175" s="153">
        <f t="shared" si="103"/>
        <v>0</v>
      </c>
      <c r="AO175" s="153">
        <f t="shared" si="103"/>
        <v>0</v>
      </c>
    </row>
    <row r="176" spans="3:43" x14ac:dyDescent="0.35">
      <c r="C176" s="24"/>
      <c r="D176"/>
      <c r="E176"/>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row>
    <row r="177" spans="3:43" x14ac:dyDescent="0.35">
      <c r="C177" s="26" t="str">
        <f ca="1">INDEX('Version control'!$H$38:$H$61,MATCH($A$1,'Version control'!$F$38:$F$61,0),1)&amp;"-F: Allocating revenue to tariffs"</f>
        <v>Section 116-F: Allocating revenue to tariffs</v>
      </c>
      <c r="D177" s="26"/>
      <c r="E177" s="26"/>
      <c r="F177" s="26"/>
      <c r="G177" s="26"/>
      <c r="H177" s="26"/>
      <c r="I177" s="26"/>
      <c r="J177" s="179"/>
      <c r="K177" s="179"/>
      <c r="L177" s="179"/>
      <c r="M177" s="179"/>
      <c r="N177" s="179"/>
      <c r="O177" s="179"/>
      <c r="P177" s="179"/>
      <c r="Q177" s="179"/>
      <c r="R177" s="179"/>
      <c r="S177" s="179"/>
      <c r="T177" s="179"/>
      <c r="U177" s="179"/>
      <c r="V177" s="179"/>
      <c r="W177" s="179"/>
      <c r="X177" s="179"/>
      <c r="Y177" s="179"/>
      <c r="Z177" s="179"/>
      <c r="AA177" s="179"/>
      <c r="AB177" s="179"/>
      <c r="AC177" s="179"/>
      <c r="AD177" s="179"/>
      <c r="AE177" s="179"/>
      <c r="AF177" s="179"/>
      <c r="AG177" s="179"/>
      <c r="AH177" s="179"/>
      <c r="AI177" s="179"/>
      <c r="AJ177" s="179"/>
      <c r="AK177" s="179"/>
      <c r="AL177" s="179"/>
      <c r="AM177" s="179"/>
      <c r="AN177" s="179"/>
      <c r="AO177" s="179"/>
    </row>
    <row r="178" spans="3:43" x14ac:dyDescent="0.35">
      <c r="C178" s="24"/>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row>
    <row r="179" spans="3:43" x14ac:dyDescent="0.35">
      <c r="C179" s="24"/>
      <c r="D179" s="24" t="s">
        <v>1120</v>
      </c>
      <c r="I179" t="s">
        <v>154</v>
      </c>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Q179" t="s">
        <v>1138</v>
      </c>
    </row>
    <row r="180" spans="3:43" x14ac:dyDescent="0.35">
      <c r="C180" s="24"/>
      <c r="D180" s="24" t="s">
        <v>1121</v>
      </c>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row>
    <row r="181" spans="3:43" x14ac:dyDescent="0.35">
      <c r="C181" s="24"/>
      <c r="D181" s="24" t="s">
        <v>1122</v>
      </c>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row>
    <row r="182" spans="3:43" x14ac:dyDescent="0.35">
      <c r="C182" s="24"/>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row>
    <row r="183" spans="3:43" x14ac:dyDescent="0.35">
      <c r="C183" s="24"/>
      <c r="D183"/>
      <c r="E183" t="s">
        <v>1023</v>
      </c>
      <c r="G183" t="s">
        <v>207</v>
      </c>
      <c r="J183" s="153">
        <f t="shared" ref="J183:AO183" si="104">SUMIF($J$150:$AO$150,J150,$J$175:$AO$175)</f>
        <v>9458243.0426865928</v>
      </c>
      <c r="K183" s="153">
        <f t="shared" si="104"/>
        <v>0</v>
      </c>
      <c r="L183" s="153">
        <f t="shared" si="104"/>
        <v>0</v>
      </c>
      <c r="M183" s="153">
        <f t="shared" si="104"/>
        <v>269193.41516073886</v>
      </c>
      <c r="N183" s="153">
        <f t="shared" si="104"/>
        <v>556678.7321782246</v>
      </c>
      <c r="O183" s="153">
        <f t="shared" si="104"/>
        <v>640891.26819739258</v>
      </c>
      <c r="P183" s="153">
        <f t="shared" si="104"/>
        <v>1732182.2639850734</v>
      </c>
      <c r="Q183" s="153">
        <f t="shared" si="104"/>
        <v>0</v>
      </c>
      <c r="R183" s="153">
        <f t="shared" si="104"/>
        <v>0</v>
      </c>
      <c r="S183" s="153">
        <f t="shared" si="104"/>
        <v>941496.70017787104</v>
      </c>
      <c r="T183" s="153">
        <f t="shared" si="104"/>
        <v>934127.95653941273</v>
      </c>
      <c r="U183" s="153">
        <f t="shared" si="104"/>
        <v>765019.98524453351</v>
      </c>
      <c r="V183" s="153">
        <f t="shared" si="104"/>
        <v>2705109.2057315474</v>
      </c>
      <c r="W183" s="153">
        <f t="shared" si="104"/>
        <v>0</v>
      </c>
      <c r="X183" s="153">
        <f t="shared" si="104"/>
        <v>941496.70017787104</v>
      </c>
      <c r="Y183" s="153">
        <f t="shared" si="104"/>
        <v>934127.95653941273</v>
      </c>
      <c r="Z183" s="153">
        <f t="shared" si="104"/>
        <v>765019.98524453351</v>
      </c>
      <c r="AA183" s="153">
        <f t="shared" si="104"/>
        <v>2705109.2057315474</v>
      </c>
      <c r="AB183" s="153">
        <f t="shared" si="104"/>
        <v>0</v>
      </c>
      <c r="AC183" s="153">
        <f t="shared" si="104"/>
        <v>247123.16619763881</v>
      </c>
      <c r="AD183" s="153">
        <f t="shared" si="104"/>
        <v>923066.0474743715</v>
      </c>
      <c r="AE183" s="153">
        <f t="shared" si="104"/>
        <v>725091.48086939147</v>
      </c>
      <c r="AF183" s="153">
        <f t="shared" si="104"/>
        <v>2106613.4488998018</v>
      </c>
      <c r="AG183" s="153">
        <f t="shared" si="104"/>
        <v>185474.35808205561</v>
      </c>
      <c r="AH183" s="153">
        <f t="shared" si="104"/>
        <v>0</v>
      </c>
      <c r="AI183" s="153">
        <f t="shared" si="104"/>
        <v>0</v>
      </c>
      <c r="AJ183" s="153">
        <f t="shared" si="104"/>
        <v>0</v>
      </c>
      <c r="AK183" s="153">
        <f t="shared" si="104"/>
        <v>0</v>
      </c>
      <c r="AL183" s="153">
        <f t="shared" si="104"/>
        <v>0</v>
      </c>
      <c r="AM183" s="153">
        <f t="shared" si="104"/>
        <v>0</v>
      </c>
      <c r="AN183" s="153">
        <f t="shared" si="104"/>
        <v>0</v>
      </c>
      <c r="AO183" s="153">
        <f t="shared" si="104"/>
        <v>0</v>
      </c>
    </row>
    <row r="184" spans="3:43" x14ac:dyDescent="0.35">
      <c r="C184" s="24"/>
      <c r="D184"/>
      <c r="E184"/>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row>
    <row r="185" spans="3:43" x14ac:dyDescent="0.35">
      <c r="C185" s="24"/>
      <c r="D185"/>
      <c r="E185" t="s">
        <v>1025</v>
      </c>
      <c r="G185" t="s">
        <v>207</v>
      </c>
      <c r="J185" s="153">
        <f>J158*J183</f>
        <v>9458243.0426865928</v>
      </c>
      <c r="K185" s="153">
        <f t="shared" ref="K185:AO185" si="105">K158*K183</f>
        <v>0</v>
      </c>
      <c r="L185" s="153">
        <f t="shared" si="105"/>
        <v>0</v>
      </c>
      <c r="M185" s="153">
        <f t="shared" si="105"/>
        <v>269193.41516073886</v>
      </c>
      <c r="N185" s="153">
        <f t="shared" si="105"/>
        <v>556678.7321782246</v>
      </c>
      <c r="O185" s="153">
        <f t="shared" si="105"/>
        <v>640891.26819739258</v>
      </c>
      <c r="P185" s="153">
        <f t="shared" si="105"/>
        <v>1732182.2639850734</v>
      </c>
      <c r="Q185" s="153">
        <f t="shared" si="105"/>
        <v>0</v>
      </c>
      <c r="R185" s="153">
        <f t="shared" si="105"/>
        <v>0</v>
      </c>
      <c r="S185" s="153">
        <f t="shared" si="105"/>
        <v>939386.65458278346</v>
      </c>
      <c r="T185" s="153">
        <f t="shared" si="105"/>
        <v>927291.83569842356</v>
      </c>
      <c r="U185" s="153">
        <f t="shared" si="105"/>
        <v>750817.12441252172</v>
      </c>
      <c r="V185" s="153">
        <f t="shared" si="105"/>
        <v>2559285.5252211248</v>
      </c>
      <c r="W185" s="153">
        <f t="shared" si="105"/>
        <v>0</v>
      </c>
      <c r="X185" s="153">
        <f t="shared" si="105"/>
        <v>2110.0455950876521</v>
      </c>
      <c r="Y185" s="153">
        <f t="shared" si="105"/>
        <v>6836.120840989196</v>
      </c>
      <c r="Z185" s="153">
        <f t="shared" si="105"/>
        <v>14202.860832011816</v>
      </c>
      <c r="AA185" s="153">
        <f t="shared" si="105"/>
        <v>145823.68051042271</v>
      </c>
      <c r="AB185" s="153">
        <f t="shared" si="105"/>
        <v>0</v>
      </c>
      <c r="AC185" s="153">
        <f t="shared" si="105"/>
        <v>247123.16619763881</v>
      </c>
      <c r="AD185" s="153">
        <f t="shared" si="105"/>
        <v>923066.0474743715</v>
      </c>
      <c r="AE185" s="153">
        <f t="shared" si="105"/>
        <v>725091.48086939147</v>
      </c>
      <c r="AF185" s="153">
        <f t="shared" si="105"/>
        <v>2106613.4488998018</v>
      </c>
      <c r="AG185" s="153">
        <f t="shared" si="105"/>
        <v>185474.35808205561</v>
      </c>
      <c r="AH185" s="153">
        <f t="shared" si="105"/>
        <v>0</v>
      </c>
      <c r="AI185" s="153">
        <f t="shared" si="105"/>
        <v>0</v>
      </c>
      <c r="AJ185" s="153">
        <f t="shared" si="105"/>
        <v>0</v>
      </c>
      <c r="AK185" s="153">
        <f t="shared" si="105"/>
        <v>0</v>
      </c>
      <c r="AL185" s="153">
        <f t="shared" si="105"/>
        <v>0</v>
      </c>
      <c r="AM185" s="153">
        <f t="shared" si="105"/>
        <v>0</v>
      </c>
      <c r="AN185" s="153">
        <f t="shared" si="105"/>
        <v>0</v>
      </c>
      <c r="AO185" s="153">
        <f t="shared" si="105"/>
        <v>0</v>
      </c>
    </row>
    <row r="186" spans="3:43" x14ac:dyDescent="0.35">
      <c r="C186" s="24"/>
      <c r="D186"/>
      <c r="E186"/>
      <c r="J186" s="153"/>
      <c r="K186" s="153"/>
      <c r="L186" s="153"/>
      <c r="M186" s="153"/>
      <c r="N186" s="153"/>
      <c r="O186" s="153"/>
      <c r="P186" s="153"/>
      <c r="Q186" s="153"/>
      <c r="R186" s="153"/>
      <c r="S186" s="153"/>
      <c r="T186" s="153"/>
      <c r="U186" s="153"/>
      <c r="V186" s="153"/>
      <c r="W186" s="153"/>
      <c r="X186" s="153"/>
      <c r="Y186" s="153"/>
      <c r="Z186" s="153"/>
      <c r="AA186" s="153"/>
      <c r="AB186" s="153"/>
      <c r="AC186" s="153"/>
      <c r="AD186" s="153"/>
      <c r="AE186" s="153"/>
      <c r="AF186" s="153"/>
      <c r="AG186" s="153"/>
      <c r="AH186" s="153"/>
      <c r="AI186" s="153"/>
      <c r="AJ186" s="153"/>
      <c r="AK186" s="153"/>
      <c r="AL186" s="153"/>
      <c r="AM186" s="153"/>
      <c r="AN186" s="153"/>
      <c r="AO186" s="153"/>
    </row>
    <row r="187" spans="3:43" x14ac:dyDescent="0.35">
      <c r="C187" s="24"/>
      <c r="D187"/>
      <c r="E187" t="s">
        <v>454</v>
      </c>
      <c r="G187" t="s">
        <v>207</v>
      </c>
      <c r="H187" s="153">
        <f>SUM($J$185:$AO$185)</f>
        <v>22190311.071424648</v>
      </c>
      <c r="J187" s="153"/>
      <c r="K187" s="153"/>
      <c r="L187" s="153"/>
      <c r="M187" s="153"/>
      <c r="N187" s="153"/>
      <c r="O187" s="153"/>
      <c r="P187" s="153"/>
      <c r="Q187" s="153"/>
      <c r="R187" s="153"/>
      <c r="S187" s="153"/>
      <c r="T187" s="153"/>
      <c r="U187" s="153"/>
      <c r="V187" s="153"/>
      <c r="W187" s="153"/>
      <c r="X187" s="153"/>
      <c r="Y187" s="153"/>
      <c r="Z187" s="153"/>
      <c r="AA187" s="153"/>
      <c r="AB187" s="153"/>
      <c r="AC187" s="153"/>
      <c r="AD187" s="153"/>
      <c r="AE187" s="153"/>
      <c r="AF187" s="153"/>
      <c r="AG187" s="153"/>
      <c r="AH187" s="153"/>
      <c r="AI187" s="153"/>
      <c r="AJ187" s="153"/>
      <c r="AK187" s="153"/>
      <c r="AL187" s="153"/>
      <c r="AM187" s="153"/>
      <c r="AN187" s="153"/>
      <c r="AO187" s="153"/>
    </row>
    <row r="188" spans="3:43" x14ac:dyDescent="0.35">
      <c r="C188" s="24"/>
      <c r="D188"/>
      <c r="E188"/>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row>
    <row r="189" spans="3:43" x14ac:dyDescent="0.35">
      <c r="C189" s="24"/>
      <c r="D189"/>
      <c r="E189" t="s">
        <v>1037</v>
      </c>
      <c r="G189" t="s">
        <v>167</v>
      </c>
      <c r="J189" s="320">
        <f>J185/$H187</f>
        <v>0.42623300828199523</v>
      </c>
      <c r="K189" s="320">
        <f t="shared" ref="K189:AO189" si="106">K185/$H187</f>
        <v>0</v>
      </c>
      <c r="L189" s="320">
        <f t="shared" si="106"/>
        <v>0</v>
      </c>
      <c r="M189" s="320">
        <f t="shared" si="106"/>
        <v>1.2131123997959181E-2</v>
      </c>
      <c r="N189" s="320">
        <f t="shared" si="106"/>
        <v>2.508656730346976E-2</v>
      </c>
      <c r="O189" s="320">
        <f t="shared" si="106"/>
        <v>2.8881581070879802E-2</v>
      </c>
      <c r="P189" s="320">
        <f t="shared" si="106"/>
        <v>7.8060296604659768E-2</v>
      </c>
      <c r="Q189" s="320">
        <f t="shared" si="106"/>
        <v>0</v>
      </c>
      <c r="R189" s="320">
        <f t="shared" si="106"/>
        <v>0</v>
      </c>
      <c r="S189" s="320">
        <f t="shared" si="106"/>
        <v>4.2333189992657165E-2</v>
      </c>
      <c r="T189" s="320">
        <f t="shared" si="106"/>
        <v>4.1788140450745387E-2</v>
      </c>
      <c r="U189" s="320">
        <f t="shared" si="106"/>
        <v>3.3835358233412917E-2</v>
      </c>
      <c r="V189" s="320">
        <f t="shared" si="106"/>
        <v>0.11533346770054158</v>
      </c>
      <c r="W189" s="320">
        <f t="shared" si="106"/>
        <v>0</v>
      </c>
      <c r="X189" s="320">
        <f t="shared" si="106"/>
        <v>9.5088599177180631E-5</v>
      </c>
      <c r="Y189" s="320">
        <f t="shared" si="106"/>
        <v>3.0806782378965127E-4</v>
      </c>
      <c r="Z189" s="320">
        <f t="shared" si="106"/>
        <v>6.4004784729229907E-4</v>
      </c>
      <c r="AA189" s="320">
        <f t="shared" si="106"/>
        <v>6.5715023120250758E-3</v>
      </c>
      <c r="AB189" s="320">
        <f t="shared" si="106"/>
        <v>0</v>
      </c>
      <c r="AC189" s="320">
        <f t="shared" si="106"/>
        <v>1.1136534562414008E-2</v>
      </c>
      <c r="AD189" s="320">
        <f t="shared" si="106"/>
        <v>4.1597706517194369E-2</v>
      </c>
      <c r="AE189" s="320">
        <f t="shared" si="106"/>
        <v>3.2676039490186361E-2</v>
      </c>
      <c r="AF189" s="320">
        <f t="shared" si="106"/>
        <v>9.4933930494222427E-2</v>
      </c>
      <c r="AG189" s="320">
        <f t="shared" si="106"/>
        <v>8.358348717377756E-3</v>
      </c>
      <c r="AH189" s="320">
        <f t="shared" si="106"/>
        <v>0</v>
      </c>
      <c r="AI189" s="320">
        <f t="shared" si="106"/>
        <v>0</v>
      </c>
      <c r="AJ189" s="320">
        <f t="shared" si="106"/>
        <v>0</v>
      </c>
      <c r="AK189" s="320">
        <f t="shared" si="106"/>
        <v>0</v>
      </c>
      <c r="AL189" s="320">
        <f t="shared" si="106"/>
        <v>0</v>
      </c>
      <c r="AM189" s="320">
        <f t="shared" si="106"/>
        <v>0</v>
      </c>
      <c r="AN189" s="320">
        <f t="shared" si="106"/>
        <v>0</v>
      </c>
      <c r="AO189" s="320">
        <f t="shared" si="106"/>
        <v>0</v>
      </c>
    </row>
    <row r="190" spans="3:43" x14ac:dyDescent="0.35">
      <c r="C190" s="24"/>
      <c r="D190"/>
      <c r="E190"/>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row>
    <row r="191" spans="3:43" x14ac:dyDescent="0.35">
      <c r="C191" s="24"/>
      <c r="D191"/>
      <c r="E191" t="s">
        <v>932</v>
      </c>
      <c r="G191" t="s">
        <v>277</v>
      </c>
      <c r="J191" s="153">
        <f>$H$85 * J189</f>
        <v>211646840.77184388</v>
      </c>
      <c r="K191" s="153">
        <f t="shared" ref="K191:AO191" si="107">$H$85 * K189</f>
        <v>0</v>
      </c>
      <c r="L191" s="153">
        <f t="shared" si="107"/>
        <v>0</v>
      </c>
      <c r="M191" s="153">
        <f t="shared" si="107"/>
        <v>6023733.543134925</v>
      </c>
      <c r="N191" s="153">
        <f t="shared" si="107"/>
        <v>12456784.463949483</v>
      </c>
      <c r="O191" s="153">
        <f t="shared" si="107"/>
        <v>14341206.033727556</v>
      </c>
      <c r="P191" s="153">
        <f t="shared" si="107"/>
        <v>38760994.209906228</v>
      </c>
      <c r="Q191" s="153">
        <f t="shared" si="107"/>
        <v>0</v>
      </c>
      <c r="R191" s="153">
        <f t="shared" si="107"/>
        <v>0</v>
      </c>
      <c r="S191" s="153">
        <f t="shared" si="107"/>
        <v>21020628.969712287</v>
      </c>
      <c r="T191" s="153">
        <f t="shared" si="107"/>
        <v>20749983.544866521</v>
      </c>
      <c r="U191" s="153">
        <f t="shared" si="107"/>
        <v>16801013.852375399</v>
      </c>
      <c r="V191" s="153">
        <f t="shared" si="107"/>
        <v>57269060.818329491</v>
      </c>
      <c r="W191" s="153">
        <f t="shared" si="107"/>
        <v>0</v>
      </c>
      <c r="X191" s="153">
        <f t="shared" si="107"/>
        <v>47216.4314312223</v>
      </c>
      <c r="Y191" s="153">
        <f t="shared" si="107"/>
        <v>152971.68539654606</v>
      </c>
      <c r="Z191" s="153">
        <f t="shared" si="107"/>
        <v>317817.02071420004</v>
      </c>
      <c r="AA191" s="153">
        <f t="shared" si="107"/>
        <v>3263092.4316982944</v>
      </c>
      <c r="AB191" s="153">
        <f t="shared" si="107"/>
        <v>0</v>
      </c>
      <c r="AC191" s="153">
        <f t="shared" si="107"/>
        <v>5529868.1976361088</v>
      </c>
      <c r="AD191" s="153">
        <f t="shared" si="107"/>
        <v>20655423.199635908</v>
      </c>
      <c r="AE191" s="153">
        <f t="shared" si="107"/>
        <v>16225351.844309729</v>
      </c>
      <c r="AF191" s="153">
        <f t="shared" si="107"/>
        <v>47139630.391700767</v>
      </c>
      <c r="AG191" s="153">
        <f t="shared" si="107"/>
        <v>4150354.5378447445</v>
      </c>
      <c r="AH191" s="153">
        <f t="shared" si="107"/>
        <v>0</v>
      </c>
      <c r="AI191" s="153">
        <f t="shared" si="107"/>
        <v>0</v>
      </c>
      <c r="AJ191" s="153">
        <f t="shared" si="107"/>
        <v>0</v>
      </c>
      <c r="AK191" s="153">
        <f t="shared" si="107"/>
        <v>0</v>
      </c>
      <c r="AL191" s="153">
        <f t="shared" si="107"/>
        <v>0</v>
      </c>
      <c r="AM191" s="153">
        <f t="shared" si="107"/>
        <v>0</v>
      </c>
      <c r="AN191" s="153">
        <f t="shared" si="107"/>
        <v>0</v>
      </c>
      <c r="AO191" s="153">
        <f t="shared" si="107"/>
        <v>0</v>
      </c>
    </row>
    <row r="192" spans="3:43" x14ac:dyDescent="0.35">
      <c r="C192" s="24"/>
      <c r="D192"/>
      <c r="E192"/>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row>
    <row r="193" spans="3:43" x14ac:dyDescent="0.35">
      <c r="C193" s="26" t="str">
        <f ca="1">INDEX('Version control'!$H$38:$H$61,MATCH($A$1,'Version control'!$F$38:$F$61,0),1)&amp;"-G: Calculating the residual fixed charge"</f>
        <v>Section 116-G: Calculating the residual fixed charge</v>
      </c>
      <c r="D193" s="26"/>
      <c r="E193" s="26"/>
      <c r="F193" s="26"/>
      <c r="G193" s="26"/>
      <c r="H193" s="26"/>
      <c r="I193" s="26"/>
      <c r="J193" s="179"/>
      <c r="K193" s="179"/>
      <c r="L193" s="179"/>
      <c r="M193" s="179"/>
      <c r="N193" s="179"/>
      <c r="O193" s="179"/>
      <c r="P193" s="179"/>
      <c r="Q193" s="179"/>
      <c r="R193" s="179"/>
      <c r="S193" s="179"/>
      <c r="T193" s="179"/>
      <c r="U193" s="179"/>
      <c r="V193" s="179"/>
      <c r="W193" s="179"/>
      <c r="X193" s="179"/>
      <c r="Y193" s="179"/>
      <c r="Z193" s="179"/>
      <c r="AA193" s="179"/>
      <c r="AB193" s="179"/>
      <c r="AC193" s="179"/>
      <c r="AD193" s="179"/>
      <c r="AE193" s="179"/>
      <c r="AF193" s="179"/>
      <c r="AG193" s="179"/>
      <c r="AH193" s="179"/>
      <c r="AI193" s="179"/>
      <c r="AJ193" s="179"/>
      <c r="AK193" s="179"/>
      <c r="AL193" s="179"/>
      <c r="AM193" s="179"/>
      <c r="AN193" s="179"/>
      <c r="AO193" s="179"/>
    </row>
    <row r="194" spans="3:43" x14ac:dyDescent="0.35">
      <c r="C194" s="24"/>
      <c r="D194"/>
      <c r="E194"/>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row>
    <row r="195" spans="3:43" x14ac:dyDescent="0.35">
      <c r="C195" s="24"/>
      <c r="D195" s="24" t="s">
        <v>1035</v>
      </c>
      <c r="E195"/>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row>
    <row r="196" spans="3:43" x14ac:dyDescent="0.35">
      <c r="C196" s="24"/>
      <c r="D196"/>
      <c r="E196"/>
      <c r="J196" s="153"/>
      <c r="K196" s="153"/>
      <c r="L196" s="153"/>
      <c r="M196" s="153"/>
      <c r="N196" s="153"/>
      <c r="O196" s="153"/>
      <c r="P196" s="153"/>
      <c r="Q196" s="153"/>
      <c r="R196" s="153"/>
      <c r="S196" s="153"/>
      <c r="T196" s="153"/>
      <c r="U196" s="153"/>
      <c r="V196" s="153"/>
      <c r="W196" s="153"/>
      <c r="X196" s="153"/>
      <c r="Y196" s="153"/>
      <c r="Z196" s="153"/>
      <c r="AA196" s="153"/>
      <c r="AB196" s="153"/>
      <c r="AC196" s="153"/>
      <c r="AD196" s="153"/>
      <c r="AE196" s="153"/>
      <c r="AF196" s="153"/>
      <c r="AG196" s="153"/>
      <c r="AH196" s="153"/>
      <c r="AI196" s="153"/>
      <c r="AJ196" s="153"/>
      <c r="AK196" s="153"/>
      <c r="AL196" s="153"/>
      <c r="AM196" s="153"/>
      <c r="AN196" s="153"/>
      <c r="AO196" s="153"/>
    </row>
    <row r="197" spans="3:43" x14ac:dyDescent="0.35">
      <c r="C197" s="24"/>
      <c r="D197"/>
      <c r="E197" t="s">
        <v>933</v>
      </c>
      <c r="G197" t="s">
        <v>1134</v>
      </c>
      <c r="I197" t="s">
        <v>154</v>
      </c>
      <c r="J197" s="153">
        <f t="shared" ref="J197:AO197" si="108">IF(J33, J191/J154, 0)</f>
        <v>71.41724092290697</v>
      </c>
      <c r="K197" s="153">
        <f t="shared" si="108"/>
        <v>0</v>
      </c>
      <c r="L197" s="153">
        <f t="shared" si="108"/>
        <v>0</v>
      </c>
      <c r="M197" s="153">
        <f t="shared" si="108"/>
        <v>66.292839531792637</v>
      </c>
      <c r="N197" s="153">
        <f t="shared" si="108"/>
        <v>181.46523176117137</v>
      </c>
      <c r="O197" s="153">
        <f t="shared" si="108"/>
        <v>401.85846946162377</v>
      </c>
      <c r="P197" s="153">
        <f t="shared" si="108"/>
        <v>1130.1065394255834</v>
      </c>
      <c r="Q197" s="153">
        <f t="shared" si="108"/>
        <v>0</v>
      </c>
      <c r="R197" s="153">
        <f t="shared" si="108"/>
        <v>0</v>
      </c>
      <c r="S197" s="153">
        <f t="shared" si="108"/>
        <v>2022.3792358029477</v>
      </c>
      <c r="T197" s="153">
        <f t="shared" si="108"/>
        <v>3393.1748777514808</v>
      </c>
      <c r="U197" s="153">
        <f t="shared" si="108"/>
        <v>5735.9618206317709</v>
      </c>
      <c r="V197" s="153">
        <f t="shared" si="108"/>
        <v>14519.591263167385</v>
      </c>
      <c r="W197" s="153">
        <f t="shared" si="108"/>
        <v>0</v>
      </c>
      <c r="X197" s="153">
        <f t="shared" si="108"/>
        <v>2022.3792358029475</v>
      </c>
      <c r="Y197" s="153">
        <f t="shared" si="108"/>
        <v>3393.1748777514813</v>
      </c>
      <c r="Z197" s="153">
        <f t="shared" si="108"/>
        <v>5735.9618206317718</v>
      </c>
      <c r="AA197" s="153">
        <f t="shared" si="108"/>
        <v>14519.591263167382</v>
      </c>
      <c r="AB197" s="153">
        <f t="shared" si="108"/>
        <v>0</v>
      </c>
      <c r="AC197" s="153">
        <f t="shared" si="108"/>
        <v>11427.185454701968</v>
      </c>
      <c r="AD197" s="153">
        <f t="shared" si="108"/>
        <v>29609.766471060513</v>
      </c>
      <c r="AE197" s="153">
        <f t="shared" si="108"/>
        <v>58000.591775176574</v>
      </c>
      <c r="AF197" s="153">
        <f t="shared" si="108"/>
        <v>149235.03746997766</v>
      </c>
      <c r="AG197" s="153">
        <f t="shared" si="108"/>
        <v>0</v>
      </c>
      <c r="AH197" s="153">
        <f t="shared" si="108"/>
        <v>0</v>
      </c>
      <c r="AI197" s="153">
        <f t="shared" si="108"/>
        <v>0</v>
      </c>
      <c r="AJ197" s="153">
        <f t="shared" si="108"/>
        <v>0</v>
      </c>
      <c r="AK197" s="153">
        <f t="shared" si="108"/>
        <v>0</v>
      </c>
      <c r="AL197" s="153">
        <f t="shared" si="108"/>
        <v>0</v>
      </c>
      <c r="AM197" s="153">
        <f t="shared" si="108"/>
        <v>0</v>
      </c>
      <c r="AN197" s="153">
        <f t="shared" si="108"/>
        <v>0</v>
      </c>
      <c r="AO197" s="153">
        <f t="shared" si="108"/>
        <v>0</v>
      </c>
      <c r="AQ197" t="s">
        <v>1147</v>
      </c>
    </row>
    <row r="198" spans="3:43" x14ac:dyDescent="0.35">
      <c r="C198" s="24"/>
      <c r="D198"/>
      <c r="E198"/>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row>
    <row r="199" spans="3:43" x14ac:dyDescent="0.35">
      <c r="C199" s="24"/>
      <c r="D199"/>
      <c r="E199" t="s">
        <v>933</v>
      </c>
      <c r="G199" t="s">
        <v>270</v>
      </c>
      <c r="I199" t="s">
        <v>154</v>
      </c>
      <c r="J199" s="153">
        <f t="shared" ref="J199:AO199" si="109">J197 * hundred / days_in_year</f>
        <v>19.566367376138896</v>
      </c>
      <c r="K199" s="153">
        <f t="shared" si="109"/>
        <v>0</v>
      </c>
      <c r="L199" s="153">
        <f t="shared" si="109"/>
        <v>0</v>
      </c>
      <c r="M199" s="153">
        <f t="shared" si="109"/>
        <v>18.162421789532228</v>
      </c>
      <c r="N199" s="153">
        <f t="shared" si="109"/>
        <v>49.716501852375721</v>
      </c>
      <c r="O199" s="153">
        <f t="shared" si="109"/>
        <v>110.09821081140377</v>
      </c>
      <c r="P199" s="153">
        <f t="shared" si="109"/>
        <v>309.6182299796119</v>
      </c>
      <c r="Q199" s="153">
        <f t="shared" si="109"/>
        <v>0</v>
      </c>
      <c r="R199" s="153">
        <f t="shared" si="109"/>
        <v>0</v>
      </c>
      <c r="S199" s="153">
        <f t="shared" si="109"/>
        <v>554.07650295971166</v>
      </c>
      <c r="T199" s="153">
        <f t="shared" si="109"/>
        <v>929.63695280862487</v>
      </c>
      <c r="U199" s="153">
        <f t="shared" si="109"/>
        <v>1571.4963892141839</v>
      </c>
      <c r="V199" s="153">
        <f t="shared" si="109"/>
        <v>3977.970209086955</v>
      </c>
      <c r="W199" s="153">
        <f t="shared" si="109"/>
        <v>0</v>
      </c>
      <c r="X199" s="153">
        <f t="shared" si="109"/>
        <v>554.07650295971166</v>
      </c>
      <c r="Y199" s="153">
        <f t="shared" si="109"/>
        <v>929.63695280862498</v>
      </c>
      <c r="Z199" s="153">
        <f t="shared" si="109"/>
        <v>1571.4963892141841</v>
      </c>
      <c r="AA199" s="153">
        <f t="shared" si="109"/>
        <v>3977.9702090869537</v>
      </c>
      <c r="AB199" s="153">
        <f t="shared" si="109"/>
        <v>0</v>
      </c>
      <c r="AC199" s="153">
        <f t="shared" si="109"/>
        <v>3130.7357410142376</v>
      </c>
      <c r="AD199" s="153">
        <f t="shared" si="109"/>
        <v>8112.2647865919216</v>
      </c>
      <c r="AE199" s="153">
        <f t="shared" si="109"/>
        <v>15890.573089089472</v>
      </c>
      <c r="AF199" s="153">
        <f t="shared" si="109"/>
        <v>40886.31163561032</v>
      </c>
      <c r="AG199" s="153">
        <f t="shared" si="109"/>
        <v>0</v>
      </c>
      <c r="AH199" s="153">
        <f t="shared" si="109"/>
        <v>0</v>
      </c>
      <c r="AI199" s="153">
        <f t="shared" si="109"/>
        <v>0</v>
      </c>
      <c r="AJ199" s="153">
        <f t="shared" si="109"/>
        <v>0</v>
      </c>
      <c r="AK199" s="153">
        <f t="shared" si="109"/>
        <v>0</v>
      </c>
      <c r="AL199" s="153">
        <f t="shared" si="109"/>
        <v>0</v>
      </c>
      <c r="AM199" s="153">
        <f t="shared" si="109"/>
        <v>0</v>
      </c>
      <c r="AN199" s="153">
        <f t="shared" si="109"/>
        <v>0</v>
      </c>
      <c r="AO199" s="153">
        <f t="shared" si="109"/>
        <v>0</v>
      </c>
      <c r="AQ199" t="s">
        <v>1148</v>
      </c>
    </row>
    <row r="200" spans="3:43" x14ac:dyDescent="0.35">
      <c r="C200" s="24"/>
      <c r="D200"/>
      <c r="E200"/>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row>
    <row r="201" spans="3:43" x14ac:dyDescent="0.35">
      <c r="C201" s="26" t="str">
        <f ca="1">INDEX('Version control'!$H$38:$H$61,MATCH($A$1,'Version control'!$F$38:$F$61,0),1)&amp;"-H: Calculating the initial residual unit rate"</f>
        <v>Section 116-H: Calculating the initial residual unit rate</v>
      </c>
      <c r="D201" s="26"/>
      <c r="E201" s="26"/>
      <c r="F201" s="26"/>
      <c r="G201" s="26"/>
      <c r="H201" s="26"/>
      <c r="I201" s="26"/>
      <c r="J201" s="179"/>
      <c r="K201" s="179"/>
      <c r="L201" s="179"/>
      <c r="M201" s="179"/>
      <c r="N201" s="179"/>
      <c r="O201" s="179"/>
      <c r="P201" s="179"/>
      <c r="Q201" s="179"/>
      <c r="R201" s="179"/>
      <c r="S201" s="179"/>
      <c r="T201" s="179"/>
      <c r="U201" s="179"/>
      <c r="V201" s="179"/>
      <c r="W201" s="179"/>
      <c r="X201" s="179"/>
      <c r="Y201" s="179"/>
      <c r="Z201" s="179"/>
      <c r="AA201" s="179"/>
      <c r="AB201" s="179"/>
      <c r="AC201" s="179"/>
      <c r="AD201" s="179"/>
      <c r="AE201" s="179"/>
      <c r="AF201" s="179"/>
      <c r="AG201" s="179"/>
      <c r="AH201" s="179"/>
      <c r="AI201" s="179"/>
      <c r="AJ201" s="179"/>
      <c r="AK201" s="179"/>
      <c r="AL201" s="179"/>
      <c r="AM201" s="179"/>
      <c r="AN201" s="179"/>
      <c r="AO201" s="179"/>
    </row>
    <row r="202" spans="3:43" x14ac:dyDescent="0.35">
      <c r="C202" s="24"/>
      <c r="D202"/>
      <c r="E202"/>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row>
    <row r="203" spans="3:43" x14ac:dyDescent="0.35">
      <c r="C203" s="24"/>
      <c r="D203" s="24" t="s">
        <v>1031</v>
      </c>
      <c r="E203"/>
      <c r="I203" t="s">
        <v>154</v>
      </c>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Q203" t="s">
        <v>1139</v>
      </c>
    </row>
    <row r="204" spans="3:43" x14ac:dyDescent="0.35">
      <c r="C204" s="24"/>
      <c r="D204" s="24" t="s">
        <v>1032</v>
      </c>
      <c r="E204"/>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row>
    <row r="205" spans="3:43" x14ac:dyDescent="0.35">
      <c r="C205" s="24"/>
      <c r="D205"/>
      <c r="E205"/>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row>
    <row r="206" spans="3:43" x14ac:dyDescent="0.35">
      <c r="C206" s="24"/>
      <c r="D206"/>
      <c r="E206" t="s">
        <v>934</v>
      </c>
      <c r="G206" t="s">
        <v>935</v>
      </c>
      <c r="J206" s="322">
        <f t="shared" ref="J206:AO206" si="110">IF(J34, J191/J185, 0)</f>
        <v>0</v>
      </c>
      <c r="K206" s="322">
        <f t="shared" si="110"/>
        <v>0</v>
      </c>
      <c r="L206" s="322">
        <f t="shared" si="110"/>
        <v>0</v>
      </c>
      <c r="M206" s="322">
        <f t="shared" si="110"/>
        <v>0</v>
      </c>
      <c r="N206" s="322">
        <f t="shared" si="110"/>
        <v>0</v>
      </c>
      <c r="O206" s="322">
        <f t="shared" si="110"/>
        <v>0</v>
      </c>
      <c r="P206" s="322">
        <f t="shared" si="110"/>
        <v>0</v>
      </c>
      <c r="Q206" s="322">
        <f t="shared" si="110"/>
        <v>0</v>
      </c>
      <c r="R206" s="322">
        <f t="shared" si="110"/>
        <v>0</v>
      </c>
      <c r="S206" s="322">
        <f t="shared" si="110"/>
        <v>0</v>
      </c>
      <c r="T206" s="322">
        <f t="shared" si="110"/>
        <v>0</v>
      </c>
      <c r="U206" s="322">
        <f t="shared" si="110"/>
        <v>0</v>
      </c>
      <c r="V206" s="322">
        <f t="shared" si="110"/>
        <v>0</v>
      </c>
      <c r="W206" s="322">
        <f t="shared" si="110"/>
        <v>0</v>
      </c>
      <c r="X206" s="322">
        <f t="shared" si="110"/>
        <v>0</v>
      </c>
      <c r="Y206" s="322">
        <f t="shared" si="110"/>
        <v>0</v>
      </c>
      <c r="Z206" s="322">
        <f t="shared" si="110"/>
        <v>0</v>
      </c>
      <c r="AA206" s="322">
        <f t="shared" si="110"/>
        <v>0</v>
      </c>
      <c r="AB206" s="322">
        <f t="shared" si="110"/>
        <v>0</v>
      </c>
      <c r="AC206" s="322">
        <f t="shared" si="110"/>
        <v>0</v>
      </c>
      <c r="AD206" s="322">
        <f t="shared" si="110"/>
        <v>0</v>
      </c>
      <c r="AE206" s="322">
        <f t="shared" si="110"/>
        <v>0</v>
      </c>
      <c r="AF206" s="322">
        <f t="shared" si="110"/>
        <v>0</v>
      </c>
      <c r="AG206" s="322">
        <f t="shared" si="110"/>
        <v>22.376972109581793</v>
      </c>
      <c r="AH206" s="322">
        <f t="shared" si="110"/>
        <v>0</v>
      </c>
      <c r="AI206" s="322">
        <f t="shared" si="110"/>
        <v>0</v>
      </c>
      <c r="AJ206" s="322">
        <f t="shared" si="110"/>
        <v>0</v>
      </c>
      <c r="AK206" s="322">
        <f t="shared" si="110"/>
        <v>0</v>
      </c>
      <c r="AL206" s="322">
        <f t="shared" si="110"/>
        <v>0</v>
      </c>
      <c r="AM206" s="322">
        <f t="shared" si="110"/>
        <v>0</v>
      </c>
      <c r="AN206" s="322">
        <f t="shared" si="110"/>
        <v>0</v>
      </c>
      <c r="AO206" s="322">
        <f t="shared" si="110"/>
        <v>0</v>
      </c>
    </row>
    <row r="207" spans="3:43" x14ac:dyDescent="0.35">
      <c r="C207" s="24"/>
      <c r="D207"/>
      <c r="E207"/>
      <c r="J207" s="322"/>
      <c r="K207" s="322"/>
      <c r="L207" s="322"/>
      <c r="M207" s="322"/>
      <c r="N207" s="322"/>
      <c r="O207" s="322"/>
      <c r="P207" s="322"/>
      <c r="Q207" s="322"/>
      <c r="R207" s="322"/>
      <c r="S207" s="322"/>
      <c r="T207" s="322"/>
      <c r="U207" s="322"/>
      <c r="V207" s="322"/>
      <c r="W207" s="322"/>
      <c r="X207" s="322"/>
      <c r="Y207" s="322"/>
      <c r="Z207" s="322"/>
      <c r="AA207" s="322"/>
      <c r="AB207" s="322"/>
      <c r="AC207" s="322"/>
      <c r="AD207" s="322"/>
      <c r="AE207" s="322"/>
      <c r="AF207" s="322"/>
      <c r="AG207" s="322"/>
      <c r="AH207" s="322"/>
      <c r="AI207" s="322"/>
      <c r="AJ207" s="322"/>
      <c r="AK207" s="322"/>
      <c r="AL207" s="322"/>
      <c r="AM207" s="322"/>
      <c r="AN207" s="322"/>
      <c r="AO207" s="322"/>
    </row>
    <row r="208" spans="3:43" x14ac:dyDescent="0.35">
      <c r="C208" s="24"/>
      <c r="E208" t="s">
        <v>934</v>
      </c>
      <c r="G208" t="s">
        <v>269</v>
      </c>
      <c r="J208" s="322">
        <f t="shared" ref="J208:AO208" si="111">J206*hundred/thousand</f>
        <v>0</v>
      </c>
      <c r="K208" s="322">
        <f t="shared" si="111"/>
        <v>0</v>
      </c>
      <c r="L208" s="322">
        <f t="shared" si="111"/>
        <v>0</v>
      </c>
      <c r="M208" s="322">
        <f t="shared" si="111"/>
        <v>0</v>
      </c>
      <c r="N208" s="322">
        <f t="shared" si="111"/>
        <v>0</v>
      </c>
      <c r="O208" s="322">
        <f t="shared" si="111"/>
        <v>0</v>
      </c>
      <c r="P208" s="322">
        <f t="shared" si="111"/>
        <v>0</v>
      </c>
      <c r="Q208" s="322">
        <f t="shared" si="111"/>
        <v>0</v>
      </c>
      <c r="R208" s="322">
        <f t="shared" si="111"/>
        <v>0</v>
      </c>
      <c r="S208" s="322">
        <f t="shared" si="111"/>
        <v>0</v>
      </c>
      <c r="T208" s="322">
        <f t="shared" si="111"/>
        <v>0</v>
      </c>
      <c r="U208" s="322">
        <f t="shared" si="111"/>
        <v>0</v>
      </c>
      <c r="V208" s="322">
        <f t="shared" si="111"/>
        <v>0</v>
      </c>
      <c r="W208" s="322">
        <f t="shared" si="111"/>
        <v>0</v>
      </c>
      <c r="X208" s="322">
        <f t="shared" si="111"/>
        <v>0</v>
      </c>
      <c r="Y208" s="322">
        <f t="shared" si="111"/>
        <v>0</v>
      </c>
      <c r="Z208" s="322">
        <f t="shared" si="111"/>
        <v>0</v>
      </c>
      <c r="AA208" s="322">
        <f t="shared" si="111"/>
        <v>0</v>
      </c>
      <c r="AB208" s="322">
        <f t="shared" si="111"/>
        <v>0</v>
      </c>
      <c r="AC208" s="322">
        <f t="shared" si="111"/>
        <v>0</v>
      </c>
      <c r="AD208" s="322">
        <f t="shared" si="111"/>
        <v>0</v>
      </c>
      <c r="AE208" s="322">
        <f t="shared" si="111"/>
        <v>0</v>
      </c>
      <c r="AF208" s="322">
        <f t="shared" si="111"/>
        <v>0</v>
      </c>
      <c r="AG208" s="322">
        <f t="shared" si="111"/>
        <v>2.2376972109581792</v>
      </c>
      <c r="AH208" s="322">
        <f t="shared" si="111"/>
        <v>0</v>
      </c>
      <c r="AI208" s="322">
        <f t="shared" si="111"/>
        <v>0</v>
      </c>
      <c r="AJ208" s="322">
        <f t="shared" si="111"/>
        <v>0</v>
      </c>
      <c r="AK208" s="322">
        <f t="shared" si="111"/>
        <v>0</v>
      </c>
      <c r="AL208" s="322">
        <f t="shared" si="111"/>
        <v>0</v>
      </c>
      <c r="AM208" s="322">
        <f t="shared" si="111"/>
        <v>0</v>
      </c>
      <c r="AN208" s="322">
        <f t="shared" si="111"/>
        <v>0</v>
      </c>
      <c r="AO208" s="322">
        <f t="shared" si="111"/>
        <v>0</v>
      </c>
    </row>
    <row r="209" spans="2:43" x14ac:dyDescent="0.35">
      <c r="C209" s="24"/>
      <c r="D209"/>
      <c r="E209"/>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row>
    <row r="210" spans="2:43" x14ac:dyDescent="0.35">
      <c r="B210" s="25" t="s">
        <v>1038</v>
      </c>
      <c r="C210" s="25"/>
      <c r="D210" s="25"/>
      <c r="E210" s="25"/>
      <c r="F210" s="25"/>
      <c r="G210" s="25"/>
      <c r="H210" s="25"/>
      <c r="I210" s="25"/>
      <c r="J210" s="190"/>
      <c r="K210" s="190"/>
      <c r="L210" s="190"/>
      <c r="M210" s="190"/>
      <c r="N210" s="190"/>
      <c r="O210" s="190"/>
      <c r="P210" s="190"/>
      <c r="Q210" s="190"/>
      <c r="R210" s="190"/>
      <c r="S210" s="190"/>
      <c r="T210" s="190"/>
      <c r="U210" s="190"/>
      <c r="V210" s="190"/>
      <c r="W210" s="190"/>
      <c r="X210" s="190"/>
      <c r="Y210" s="190"/>
      <c r="Z210" s="190"/>
      <c r="AA210" s="190"/>
      <c r="AB210" s="190"/>
      <c r="AC210" s="190"/>
      <c r="AD210" s="190"/>
      <c r="AE210" s="190"/>
      <c r="AF210" s="190"/>
      <c r="AG210" s="190"/>
      <c r="AH210" s="190"/>
      <c r="AI210" s="190"/>
      <c r="AJ210" s="190"/>
      <c r="AK210" s="190"/>
      <c r="AL210" s="190"/>
      <c r="AM210" s="190"/>
      <c r="AN210" s="190"/>
      <c r="AO210" s="190"/>
      <c r="AP210" s="95"/>
      <c r="AQ210" s="95"/>
    </row>
    <row r="211" spans="2:43" x14ac:dyDescent="0.35">
      <c r="C211" s="24"/>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row>
    <row r="212" spans="2:43" x14ac:dyDescent="0.35">
      <c r="C212" s="24" t="s">
        <v>1039</v>
      </c>
      <c r="I212" t="s">
        <v>154</v>
      </c>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Q212" t="s">
        <v>1123</v>
      </c>
    </row>
    <row r="213" spans="2:43" x14ac:dyDescent="0.35">
      <c r="C213" s="24"/>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row>
    <row r="214" spans="2:43" x14ac:dyDescent="0.35">
      <c r="C214" s="26" t="str">
        <f ca="1">INDEX('Version control'!$H$38:$H$61,MATCH($A$1,'Version control'!$F$38:$F$61,0),1)&amp;"-I: Floor on negative residual fixed charges"</f>
        <v>Section 116-I: Floor on negative residual fixed charges</v>
      </c>
      <c r="D214" s="26"/>
      <c r="E214" s="26"/>
      <c r="F214" s="26"/>
      <c r="G214" s="26"/>
      <c r="H214" s="26"/>
      <c r="I214" s="26"/>
      <c r="J214" s="179"/>
      <c r="K214" s="179"/>
      <c r="L214" s="179"/>
      <c r="M214" s="179"/>
      <c r="N214" s="179"/>
      <c r="O214" s="179"/>
      <c r="P214" s="179"/>
      <c r="Q214" s="179"/>
      <c r="R214" s="179"/>
      <c r="S214" s="179"/>
      <c r="T214" s="179"/>
      <c r="U214" s="179"/>
      <c r="V214" s="179"/>
      <c r="W214" s="179"/>
      <c r="X214" s="179"/>
      <c r="Y214" s="179"/>
      <c r="Z214" s="179"/>
      <c r="AA214" s="179"/>
      <c r="AB214" s="179"/>
      <c r="AC214" s="179"/>
      <c r="AD214" s="179"/>
      <c r="AE214" s="179"/>
      <c r="AF214" s="179"/>
      <c r="AG214" s="179"/>
      <c r="AH214" s="179"/>
      <c r="AI214" s="179"/>
      <c r="AJ214" s="179"/>
      <c r="AK214" s="179"/>
      <c r="AL214" s="179"/>
      <c r="AM214" s="179"/>
      <c r="AN214" s="179"/>
      <c r="AO214" s="179"/>
    </row>
    <row r="215" spans="2:43" x14ac:dyDescent="0.35">
      <c r="C215" s="24"/>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row>
    <row r="216" spans="2:43" x14ac:dyDescent="0.35">
      <c r="C216" s="24"/>
      <c r="D216" s="24" t="s">
        <v>1040</v>
      </c>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row>
    <row r="217" spans="2:43" x14ac:dyDescent="0.35">
      <c r="C217" s="24"/>
      <c r="D217" s="24" t="s">
        <v>1041</v>
      </c>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row>
    <row r="218" spans="2:43" x14ac:dyDescent="0.35">
      <c r="C218" s="24"/>
      <c r="D218" s="24" t="s">
        <v>1042</v>
      </c>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row>
    <row r="219" spans="2:43" x14ac:dyDescent="0.35">
      <c r="C219" s="24"/>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row>
    <row r="220" spans="2:43" x14ac:dyDescent="0.35">
      <c r="C220" s="24"/>
      <c r="E220" s="24" t="s">
        <v>1144</v>
      </c>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row>
    <row r="221" spans="2:43" x14ac:dyDescent="0.35">
      <c r="C221" s="24"/>
      <c r="E221" s="24" t="s">
        <v>1043</v>
      </c>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row>
    <row r="222" spans="2:43" x14ac:dyDescent="0.35">
      <c r="C222" s="24"/>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row>
    <row r="223" spans="2:43" x14ac:dyDescent="0.35">
      <c r="C223" s="24"/>
      <c r="E223" t="s">
        <v>1044</v>
      </c>
      <c r="G223" t="s">
        <v>270</v>
      </c>
      <c r="J223" s="153">
        <f t="array" ref="J223">MIN(IF($J150:$AO150=J150,$J43:$AO43+$J48:$AO48))</f>
        <v>6.3919541626251384</v>
      </c>
      <c r="K223" s="153">
        <f t="array" ref="K223">MIN(IF($J150:$AO150=K150,$J43:$AO43+$J48:$AO48))</f>
        <v>0</v>
      </c>
      <c r="L223" s="153">
        <f t="array" ref="L223">MIN(IF($J150:$AO150=L150,$J43:$AO43+$J48:$AO48))</f>
        <v>0</v>
      </c>
      <c r="M223" s="153">
        <f t="array" ref="M223">MIN(IF($J150:$AO150=M150,$J43:$AO43+$J48:$AO48))</f>
        <v>10.101432302567243</v>
      </c>
      <c r="N223" s="153">
        <f t="array" ref="N223">MIN(IF($J150:$AO150=N150,$J43:$AO43+$J48:$AO48))</f>
        <v>10.101432302567243</v>
      </c>
      <c r="O223" s="153">
        <f t="array" ref="O223">MIN(IF($J150:$AO150=O150,$J43:$AO43+$J48:$AO48))</f>
        <v>10.101432302567243</v>
      </c>
      <c r="P223" s="153">
        <f t="array" ref="P223">MIN(IF($J150:$AO150=P150,$J43:$AO43+$J48:$AO48))</f>
        <v>10.101432302567243</v>
      </c>
      <c r="Q223" s="153">
        <f t="array" ref="Q223">MIN(IF($J150:$AO150=Q150,$J43:$AO43+$J48:$AO48))</f>
        <v>0</v>
      </c>
      <c r="R223" s="153">
        <f t="array" ref="R223">MIN(IF($J150:$AO150=R150,$J43:$AO43+$J48:$AO48))</f>
        <v>0</v>
      </c>
      <c r="S223" s="153">
        <f t="array" ref="S223">MIN(IF($J150:$AO150=S150,$J43:$AO43+$J48:$AO48))</f>
        <v>23.332736670889311</v>
      </c>
      <c r="T223" s="153">
        <f t="array" ref="T223">MIN(IF($J150:$AO150=T150,$J43:$AO43+$J48:$AO48))</f>
        <v>23.332736670889311</v>
      </c>
      <c r="U223" s="153">
        <f t="array" ref="U223">MIN(IF($J150:$AO150=U150,$J43:$AO43+$J48:$AO48))</f>
        <v>23.332736670889311</v>
      </c>
      <c r="V223" s="153">
        <f t="array" ref="V223">MIN(IF($J150:$AO150=V150,$J43:$AO43+$J48:$AO48))</f>
        <v>23.332736670889311</v>
      </c>
      <c r="W223" s="153">
        <f t="array" ref="W223">MIN(IF($J150:$AO150=W150,$J43:$AO43+$J48:$AO48))</f>
        <v>0</v>
      </c>
      <c r="X223" s="153">
        <f t="array" ref="X223">MIN(IF($J150:$AO150=X150,$J43:$AO43+$J48:$AO48))</f>
        <v>23.332736670889311</v>
      </c>
      <c r="Y223" s="153">
        <f t="array" ref="Y223">MIN(IF($J150:$AO150=Y150,$J43:$AO43+$J48:$AO48))</f>
        <v>23.332736670889311</v>
      </c>
      <c r="Z223" s="153">
        <f t="array" ref="Z223">MIN(IF($J150:$AO150=Z150,$J43:$AO43+$J48:$AO48))</f>
        <v>23.332736670889311</v>
      </c>
      <c r="AA223" s="153">
        <f t="array" ref="AA223">MIN(IF($J150:$AO150=AA150,$J43:$AO43+$J48:$AO48))</f>
        <v>23.332736670889311</v>
      </c>
      <c r="AB223" s="153">
        <f t="array" ref="AB223">MIN(IF($J150:$AO150=AB150,$J43:$AO43+$J48:$AO48))</f>
        <v>0</v>
      </c>
      <c r="AC223" s="153">
        <f t="array" ref="AC223">MIN(IF($J150:$AO150=AC150,$J43:$AO43+$J48:$AO48))</f>
        <v>209.66324232669396</v>
      </c>
      <c r="AD223" s="153">
        <f t="array" ref="AD223">MIN(IF($J150:$AO150=AD150,$J43:$AO43+$J48:$AO48))</f>
        <v>209.66324232669396</v>
      </c>
      <c r="AE223" s="153">
        <f t="array" ref="AE223">MIN(IF($J150:$AO150=AE150,$J43:$AO43+$J48:$AO48))</f>
        <v>209.66324232669396</v>
      </c>
      <c r="AF223" s="153">
        <f t="array" ref="AF223">MIN(IF($J150:$AO150=AF150,$J43:$AO43+$J48:$AO48))</f>
        <v>209.66324232669396</v>
      </c>
      <c r="AG223" s="153">
        <f t="array" ref="AG223">MIN(IF($J150:$AO150=AG150,$J43:$AO43+$J48:$AO48))</f>
        <v>0</v>
      </c>
      <c r="AH223" s="153">
        <f t="array" ref="AH223">MIN(IF($J150:$AO150=AH150,$J43:$AO43+$J48:$AO48))</f>
        <v>0</v>
      </c>
      <c r="AI223" s="153">
        <f t="array" ref="AI223">MIN(IF($J150:$AO150=AI150,$J43:$AO43+$J48:$AO48))</f>
        <v>0</v>
      </c>
      <c r="AJ223" s="153">
        <f t="array" ref="AJ223">MIN(IF($J150:$AO150=AJ150,$J43:$AO43+$J48:$AO48))</f>
        <v>0</v>
      </c>
      <c r="AK223" s="153">
        <f t="array" ref="AK223">MIN(IF($J150:$AO150=AK150,$J43:$AO43+$J48:$AO48))</f>
        <v>0</v>
      </c>
      <c r="AL223" s="153">
        <f t="array" ref="AL223">MIN(IF($J150:$AO150=AL150,$J43:$AO43+$J48:$AO48))</f>
        <v>0</v>
      </c>
      <c r="AM223" s="153">
        <f t="array" ref="AM223">MIN(IF($J150:$AO150=AM150,$J43:$AO43+$J48:$AO48))</f>
        <v>0</v>
      </c>
      <c r="AN223" s="153">
        <f t="array" ref="AN223">MIN(IF($J150:$AO150=AN150,$J43:$AO43+$J48:$AO48))</f>
        <v>0</v>
      </c>
      <c r="AO223" s="153">
        <f t="array" ref="AO223">MIN(IF($J150:$AO150=AO150,$J43:$AO43+$J48:$AO48))</f>
        <v>0</v>
      </c>
    </row>
    <row r="224" spans="2:43" x14ac:dyDescent="0.35">
      <c r="C224" s="24"/>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row>
    <row r="225" spans="3:43" x14ac:dyDescent="0.35">
      <c r="C225" s="24"/>
      <c r="E225" t="s">
        <v>1045</v>
      </c>
      <c r="G225" t="s">
        <v>270</v>
      </c>
      <c r="J225" s="153">
        <f>MAX(-J223,J199)</f>
        <v>19.566367376138896</v>
      </c>
      <c r="K225" s="153">
        <f t="shared" ref="K225:AO225" si="112">MAX(-K223,K199)</f>
        <v>0</v>
      </c>
      <c r="L225" s="153">
        <f t="shared" si="112"/>
        <v>0</v>
      </c>
      <c r="M225" s="153">
        <f t="shared" si="112"/>
        <v>18.162421789532228</v>
      </c>
      <c r="N225" s="153">
        <f t="shared" si="112"/>
        <v>49.716501852375721</v>
      </c>
      <c r="O225" s="153">
        <f t="shared" si="112"/>
        <v>110.09821081140377</v>
      </c>
      <c r="P225" s="153">
        <f t="shared" si="112"/>
        <v>309.6182299796119</v>
      </c>
      <c r="Q225" s="153">
        <f t="shared" si="112"/>
        <v>0</v>
      </c>
      <c r="R225" s="153">
        <f t="shared" si="112"/>
        <v>0</v>
      </c>
      <c r="S225" s="153">
        <f t="shared" si="112"/>
        <v>554.07650295971166</v>
      </c>
      <c r="T225" s="153">
        <f t="shared" si="112"/>
        <v>929.63695280862487</v>
      </c>
      <c r="U225" s="153">
        <f t="shared" si="112"/>
        <v>1571.4963892141839</v>
      </c>
      <c r="V225" s="153">
        <f t="shared" si="112"/>
        <v>3977.970209086955</v>
      </c>
      <c r="W225" s="153">
        <f t="shared" si="112"/>
        <v>0</v>
      </c>
      <c r="X225" s="153">
        <f t="shared" si="112"/>
        <v>554.07650295971166</v>
      </c>
      <c r="Y225" s="153">
        <f t="shared" si="112"/>
        <v>929.63695280862498</v>
      </c>
      <c r="Z225" s="153">
        <f t="shared" si="112"/>
        <v>1571.4963892141841</v>
      </c>
      <c r="AA225" s="153">
        <f t="shared" si="112"/>
        <v>3977.9702090869537</v>
      </c>
      <c r="AB225" s="153">
        <f t="shared" si="112"/>
        <v>0</v>
      </c>
      <c r="AC225" s="153">
        <f t="shared" si="112"/>
        <v>3130.7357410142376</v>
      </c>
      <c r="AD225" s="153">
        <f t="shared" si="112"/>
        <v>8112.2647865919216</v>
      </c>
      <c r="AE225" s="153">
        <f t="shared" si="112"/>
        <v>15890.573089089472</v>
      </c>
      <c r="AF225" s="153">
        <f t="shared" si="112"/>
        <v>40886.31163561032</v>
      </c>
      <c r="AG225" s="153">
        <f t="shared" si="112"/>
        <v>0</v>
      </c>
      <c r="AH225" s="153">
        <f t="shared" si="112"/>
        <v>0</v>
      </c>
      <c r="AI225" s="153">
        <f t="shared" si="112"/>
        <v>0</v>
      </c>
      <c r="AJ225" s="153">
        <f t="shared" si="112"/>
        <v>0</v>
      </c>
      <c r="AK225" s="153">
        <f t="shared" si="112"/>
        <v>0</v>
      </c>
      <c r="AL225" s="153">
        <f t="shared" si="112"/>
        <v>0</v>
      </c>
      <c r="AM225" s="153">
        <f t="shared" si="112"/>
        <v>0</v>
      </c>
      <c r="AN225" s="153">
        <f t="shared" si="112"/>
        <v>0</v>
      </c>
      <c r="AO225" s="153">
        <f t="shared" si="112"/>
        <v>0</v>
      </c>
    </row>
    <row r="226" spans="3:43" x14ac:dyDescent="0.35">
      <c r="C226" s="24"/>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row>
    <row r="227" spans="3:43" x14ac:dyDescent="0.35">
      <c r="C227" s="24"/>
      <c r="E227" t="s">
        <v>1046</v>
      </c>
      <c r="G227" t="s">
        <v>270</v>
      </c>
      <c r="J227" s="153">
        <f xml:space="preserve"> J199 - J225</f>
        <v>0</v>
      </c>
      <c r="K227" s="153">
        <f t="shared" ref="K227:AO227" si="113" xml:space="preserve"> K199 - K225</f>
        <v>0</v>
      </c>
      <c r="L227" s="153">
        <f t="shared" si="113"/>
        <v>0</v>
      </c>
      <c r="M227" s="153">
        <f t="shared" si="113"/>
        <v>0</v>
      </c>
      <c r="N227" s="153">
        <f t="shared" si="113"/>
        <v>0</v>
      </c>
      <c r="O227" s="153">
        <f t="shared" si="113"/>
        <v>0</v>
      </c>
      <c r="P227" s="153">
        <f t="shared" si="113"/>
        <v>0</v>
      </c>
      <c r="Q227" s="153">
        <f t="shared" si="113"/>
        <v>0</v>
      </c>
      <c r="R227" s="153">
        <f t="shared" si="113"/>
        <v>0</v>
      </c>
      <c r="S227" s="153">
        <f t="shared" si="113"/>
        <v>0</v>
      </c>
      <c r="T227" s="153">
        <f t="shared" si="113"/>
        <v>0</v>
      </c>
      <c r="U227" s="153">
        <f t="shared" si="113"/>
        <v>0</v>
      </c>
      <c r="V227" s="153">
        <f t="shared" si="113"/>
        <v>0</v>
      </c>
      <c r="W227" s="153">
        <f t="shared" si="113"/>
        <v>0</v>
      </c>
      <c r="X227" s="153">
        <f t="shared" si="113"/>
        <v>0</v>
      </c>
      <c r="Y227" s="153">
        <f t="shared" si="113"/>
        <v>0</v>
      </c>
      <c r="Z227" s="153">
        <f t="shared" si="113"/>
        <v>0</v>
      </c>
      <c r="AA227" s="153">
        <f t="shared" si="113"/>
        <v>0</v>
      </c>
      <c r="AB227" s="153">
        <f t="shared" si="113"/>
        <v>0</v>
      </c>
      <c r="AC227" s="153">
        <f t="shared" si="113"/>
        <v>0</v>
      </c>
      <c r="AD227" s="153">
        <f t="shared" si="113"/>
        <v>0</v>
      </c>
      <c r="AE227" s="153">
        <f t="shared" si="113"/>
        <v>0</v>
      </c>
      <c r="AF227" s="153">
        <f t="shared" si="113"/>
        <v>0</v>
      </c>
      <c r="AG227" s="153">
        <f t="shared" si="113"/>
        <v>0</v>
      </c>
      <c r="AH227" s="153">
        <f t="shared" si="113"/>
        <v>0</v>
      </c>
      <c r="AI227" s="153">
        <f t="shared" si="113"/>
        <v>0</v>
      </c>
      <c r="AJ227" s="153">
        <f t="shared" si="113"/>
        <v>0</v>
      </c>
      <c r="AK227" s="153">
        <f t="shared" si="113"/>
        <v>0</v>
      </c>
      <c r="AL227" s="153">
        <f t="shared" si="113"/>
        <v>0</v>
      </c>
      <c r="AM227" s="153">
        <f t="shared" si="113"/>
        <v>0</v>
      </c>
      <c r="AN227" s="153">
        <f t="shared" si="113"/>
        <v>0</v>
      </c>
      <c r="AO227" s="153">
        <f t="shared" si="113"/>
        <v>0</v>
      </c>
    </row>
    <row r="228" spans="3:43" x14ac:dyDescent="0.35">
      <c r="C228" s="24"/>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row>
    <row r="229" spans="3:43" x14ac:dyDescent="0.35">
      <c r="C229" s="24"/>
      <c r="E229" t="s">
        <v>1047</v>
      </c>
      <c r="G229" t="s">
        <v>931</v>
      </c>
      <c r="J229" s="153">
        <f t="shared" ref="J229:AO229" si="114">J227 * days_in_year / hundred * J154</f>
        <v>0</v>
      </c>
      <c r="K229" s="153">
        <f t="shared" si="114"/>
        <v>0</v>
      </c>
      <c r="L229" s="153">
        <f t="shared" si="114"/>
        <v>0</v>
      </c>
      <c r="M229" s="153">
        <f t="shared" si="114"/>
        <v>0</v>
      </c>
      <c r="N229" s="153">
        <f t="shared" si="114"/>
        <v>0</v>
      </c>
      <c r="O229" s="153">
        <f t="shared" si="114"/>
        <v>0</v>
      </c>
      <c r="P229" s="153">
        <f t="shared" si="114"/>
        <v>0</v>
      </c>
      <c r="Q229" s="153">
        <f t="shared" si="114"/>
        <v>0</v>
      </c>
      <c r="R229" s="153">
        <f t="shared" si="114"/>
        <v>0</v>
      </c>
      <c r="S229" s="153">
        <f t="shared" si="114"/>
        <v>0</v>
      </c>
      <c r="T229" s="153">
        <f t="shared" si="114"/>
        <v>0</v>
      </c>
      <c r="U229" s="153">
        <f t="shared" si="114"/>
        <v>0</v>
      </c>
      <c r="V229" s="153">
        <f t="shared" si="114"/>
        <v>0</v>
      </c>
      <c r="W229" s="153">
        <f t="shared" si="114"/>
        <v>0</v>
      </c>
      <c r="X229" s="153">
        <f t="shared" si="114"/>
        <v>0</v>
      </c>
      <c r="Y229" s="153">
        <f t="shared" si="114"/>
        <v>0</v>
      </c>
      <c r="Z229" s="153">
        <f t="shared" si="114"/>
        <v>0</v>
      </c>
      <c r="AA229" s="153">
        <f t="shared" si="114"/>
        <v>0</v>
      </c>
      <c r="AB229" s="153">
        <f t="shared" si="114"/>
        <v>0</v>
      </c>
      <c r="AC229" s="153">
        <f t="shared" si="114"/>
        <v>0</v>
      </c>
      <c r="AD229" s="153">
        <f t="shared" si="114"/>
        <v>0</v>
      </c>
      <c r="AE229" s="153">
        <f t="shared" si="114"/>
        <v>0</v>
      </c>
      <c r="AF229" s="153">
        <f t="shared" si="114"/>
        <v>0</v>
      </c>
      <c r="AG229" s="153">
        <f t="shared" si="114"/>
        <v>0</v>
      </c>
      <c r="AH229" s="153">
        <f t="shared" si="114"/>
        <v>0</v>
      </c>
      <c r="AI229" s="153">
        <f t="shared" si="114"/>
        <v>0</v>
      </c>
      <c r="AJ229" s="153">
        <f t="shared" si="114"/>
        <v>0</v>
      </c>
      <c r="AK229" s="153">
        <f t="shared" si="114"/>
        <v>0</v>
      </c>
      <c r="AL229" s="153">
        <f t="shared" si="114"/>
        <v>0</v>
      </c>
      <c r="AM229" s="153">
        <f t="shared" si="114"/>
        <v>0</v>
      </c>
      <c r="AN229" s="153">
        <f t="shared" si="114"/>
        <v>0</v>
      </c>
      <c r="AO229" s="153">
        <f t="shared" si="114"/>
        <v>0</v>
      </c>
    </row>
    <row r="230" spans="3:43" x14ac:dyDescent="0.35">
      <c r="C230" s="24"/>
      <c r="D230"/>
      <c r="E230"/>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row>
    <row r="231" spans="3:43" x14ac:dyDescent="0.35">
      <c r="C231" s="24"/>
      <c r="D231"/>
      <c r="E231" t="s">
        <v>1048</v>
      </c>
      <c r="G231" t="s">
        <v>931</v>
      </c>
      <c r="H231" s="79">
        <f>SUM(J229:AO229)</f>
        <v>0</v>
      </c>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row>
    <row r="232" spans="3:43" x14ac:dyDescent="0.35">
      <c r="C232" s="24"/>
      <c r="D232"/>
      <c r="E232"/>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row>
    <row r="233" spans="3:43" x14ac:dyDescent="0.35">
      <c r="C233" s="26" t="str">
        <f ca="1">INDEX('Version control'!$H$38:$H$61,MATCH($A$1,'Version control'!$F$38:$F$61,0),1)&amp;"-J: Ranking unit rate volumes and tariffs"</f>
        <v>Section 116-J: Ranking unit rate volumes and tariffs</v>
      </c>
      <c r="D233" s="26"/>
      <c r="E233" s="26"/>
      <c r="F233" s="26"/>
      <c r="G233" s="26"/>
      <c r="H233" s="26"/>
      <c r="I233" s="26"/>
      <c r="J233" s="179"/>
      <c r="K233" s="179"/>
      <c r="L233" s="179"/>
      <c r="M233" s="179"/>
      <c r="N233" s="179"/>
      <c r="O233" s="179"/>
      <c r="P233" s="179"/>
      <c r="Q233" s="179"/>
      <c r="R233" s="179"/>
      <c r="S233" s="179"/>
      <c r="T233" s="179"/>
      <c r="U233" s="179"/>
      <c r="V233" s="179"/>
      <c r="W233" s="179"/>
      <c r="X233" s="179"/>
      <c r="Y233" s="179"/>
      <c r="Z233" s="179"/>
      <c r="AA233" s="179"/>
      <c r="AB233" s="179"/>
      <c r="AC233" s="179"/>
      <c r="AD233" s="179"/>
      <c r="AE233" s="179"/>
      <c r="AF233" s="179"/>
      <c r="AG233" s="179"/>
      <c r="AH233" s="179"/>
      <c r="AI233" s="179"/>
      <c r="AJ233" s="179"/>
      <c r="AK233" s="179"/>
      <c r="AL233" s="179"/>
      <c r="AM233" s="179"/>
      <c r="AN233" s="179"/>
      <c r="AO233" s="179"/>
    </row>
    <row r="234" spans="3:43" x14ac:dyDescent="0.35">
      <c r="C234" s="24"/>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row>
    <row r="235" spans="3:43" x14ac:dyDescent="0.35">
      <c r="C235" s="24"/>
      <c r="D235" s="24" t="s">
        <v>1049</v>
      </c>
      <c r="I235" t="s">
        <v>154</v>
      </c>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Q235" t="s">
        <v>1123</v>
      </c>
    </row>
    <row r="236" spans="3:43" x14ac:dyDescent="0.35">
      <c r="C236" s="24"/>
      <c r="D236" s="24" t="s">
        <v>1050</v>
      </c>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row>
    <row r="237" spans="3:43" x14ac:dyDescent="0.35">
      <c r="C237" s="24"/>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row>
    <row r="238" spans="3:43" x14ac:dyDescent="0.35">
      <c r="C238" s="24"/>
      <c r="E238" s="382" t="s">
        <v>1051</v>
      </c>
      <c r="G238" t="s">
        <v>907</v>
      </c>
      <c r="J238" s="13" t="b">
        <f>J229&lt;0</f>
        <v>0</v>
      </c>
      <c r="K238" s="13" t="b">
        <f t="shared" ref="K238:AO238" si="115">K229&lt;0</f>
        <v>0</v>
      </c>
      <c r="L238" s="13" t="b">
        <f t="shared" si="115"/>
        <v>0</v>
      </c>
      <c r="M238" s="13" t="b">
        <f t="shared" si="115"/>
        <v>0</v>
      </c>
      <c r="N238" s="13" t="b">
        <f t="shared" si="115"/>
        <v>0</v>
      </c>
      <c r="O238" s="13" t="b">
        <f t="shared" si="115"/>
        <v>0</v>
      </c>
      <c r="P238" s="13" t="b">
        <f t="shared" si="115"/>
        <v>0</v>
      </c>
      <c r="Q238" s="13" t="b">
        <f t="shared" si="115"/>
        <v>0</v>
      </c>
      <c r="R238" s="13" t="b">
        <f t="shared" si="115"/>
        <v>0</v>
      </c>
      <c r="S238" s="13" t="b">
        <f t="shared" si="115"/>
        <v>0</v>
      </c>
      <c r="T238" s="13" t="b">
        <f t="shared" si="115"/>
        <v>0</v>
      </c>
      <c r="U238" s="13" t="b">
        <f t="shared" si="115"/>
        <v>0</v>
      </c>
      <c r="V238" s="13" t="b">
        <f t="shared" si="115"/>
        <v>0</v>
      </c>
      <c r="W238" s="13" t="b">
        <f t="shared" si="115"/>
        <v>0</v>
      </c>
      <c r="X238" s="13" t="b">
        <f t="shared" si="115"/>
        <v>0</v>
      </c>
      <c r="Y238" s="13" t="b">
        <f t="shared" si="115"/>
        <v>0</v>
      </c>
      <c r="Z238" s="13" t="b">
        <f t="shared" si="115"/>
        <v>0</v>
      </c>
      <c r="AA238" s="13" t="b">
        <f t="shared" si="115"/>
        <v>0</v>
      </c>
      <c r="AB238" s="13" t="b">
        <f t="shared" si="115"/>
        <v>0</v>
      </c>
      <c r="AC238" s="13" t="b">
        <f t="shared" si="115"/>
        <v>0</v>
      </c>
      <c r="AD238" s="13" t="b">
        <f t="shared" si="115"/>
        <v>0</v>
      </c>
      <c r="AE238" s="13" t="b">
        <f t="shared" si="115"/>
        <v>0</v>
      </c>
      <c r="AF238" s="13" t="b">
        <f t="shared" si="115"/>
        <v>0</v>
      </c>
      <c r="AG238" s="13" t="b">
        <f t="shared" si="115"/>
        <v>0</v>
      </c>
      <c r="AH238" s="13" t="b">
        <f t="shared" si="115"/>
        <v>0</v>
      </c>
      <c r="AI238" s="13" t="b">
        <f t="shared" si="115"/>
        <v>0</v>
      </c>
      <c r="AJ238" s="13" t="b">
        <f t="shared" si="115"/>
        <v>0</v>
      </c>
      <c r="AK238" s="13" t="b">
        <f t="shared" si="115"/>
        <v>0</v>
      </c>
      <c r="AL238" s="13" t="b">
        <f t="shared" si="115"/>
        <v>0</v>
      </c>
      <c r="AM238" s="13" t="b">
        <f t="shared" si="115"/>
        <v>0</v>
      </c>
      <c r="AN238" s="13" t="b">
        <f t="shared" si="115"/>
        <v>0</v>
      </c>
      <c r="AO238" s="13" t="b">
        <f t="shared" si="115"/>
        <v>0</v>
      </c>
    </row>
    <row r="239" spans="3:43" x14ac:dyDescent="0.35">
      <c r="C239" s="24"/>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row>
    <row r="240" spans="3:43" x14ac:dyDescent="0.35">
      <c r="C240" s="24"/>
      <c r="E240" s="24" t="s">
        <v>1052</v>
      </c>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row>
    <row r="241" spans="3:43" x14ac:dyDescent="0.35">
      <c r="C241" s="24"/>
      <c r="E241" s="24" t="s">
        <v>1053</v>
      </c>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row>
    <row r="242" spans="3:43" x14ac:dyDescent="0.35">
      <c r="C242" s="24"/>
      <c r="E242" s="24" t="s">
        <v>1054</v>
      </c>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row>
    <row r="243" spans="3:43" x14ac:dyDescent="0.35">
      <c r="C243" s="24"/>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row>
    <row r="244" spans="3:43" x14ac:dyDescent="0.35">
      <c r="C244" s="24"/>
      <c r="E244" s="27" t="s">
        <v>1055</v>
      </c>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row>
    <row r="245" spans="3:43" x14ac:dyDescent="0.35">
      <c r="C245" s="24"/>
      <c r="F245" s="19" t="s">
        <v>1056</v>
      </c>
      <c r="G245" s="19" t="s">
        <v>149</v>
      </c>
      <c r="H245" s="310">
        <v>1</v>
      </c>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row>
    <row r="246" spans="3:43" x14ac:dyDescent="0.35">
      <c r="C246" s="24"/>
      <c r="F246" t="s">
        <v>1057</v>
      </c>
      <c r="G246" t="s">
        <v>149</v>
      </c>
      <c r="H246" s="321">
        <v>2</v>
      </c>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row>
    <row r="247" spans="3:43" x14ac:dyDescent="0.35">
      <c r="C247" s="24"/>
      <c r="F247" s="28" t="s">
        <v>1058</v>
      </c>
      <c r="G247" s="28" t="s">
        <v>149</v>
      </c>
      <c r="H247" s="311">
        <v>3</v>
      </c>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row>
    <row r="248" spans="3:43" x14ac:dyDescent="0.35">
      <c r="C248" s="24"/>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row>
    <row r="249" spans="3:43" x14ac:dyDescent="0.35">
      <c r="C249" s="24"/>
      <c r="E249" s="27" t="s">
        <v>1059</v>
      </c>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row>
    <row r="250" spans="3:43" x14ac:dyDescent="0.35">
      <c r="C250" s="24"/>
      <c r="F250" s="19" t="s">
        <v>1056</v>
      </c>
      <c r="G250" s="19" t="s">
        <v>269</v>
      </c>
      <c r="H250" s="19"/>
      <c r="I250" s="19"/>
      <c r="J250" s="383">
        <f t="shared" ref="J250:AO250" si="116">IF(J$238, SMALL(J$40:J$42,$H245), 0)</f>
        <v>0</v>
      </c>
      <c r="K250" s="383">
        <f t="shared" si="116"/>
        <v>0</v>
      </c>
      <c r="L250" s="383">
        <f t="shared" si="116"/>
        <v>0</v>
      </c>
      <c r="M250" s="383">
        <f t="shared" si="116"/>
        <v>0</v>
      </c>
      <c r="N250" s="383">
        <f t="shared" si="116"/>
        <v>0</v>
      </c>
      <c r="O250" s="383">
        <f t="shared" si="116"/>
        <v>0</v>
      </c>
      <c r="P250" s="383">
        <f t="shared" si="116"/>
        <v>0</v>
      </c>
      <c r="Q250" s="383">
        <f t="shared" si="116"/>
        <v>0</v>
      </c>
      <c r="R250" s="383">
        <f t="shared" si="116"/>
        <v>0</v>
      </c>
      <c r="S250" s="383">
        <f t="shared" si="116"/>
        <v>0</v>
      </c>
      <c r="T250" s="383">
        <f t="shared" si="116"/>
        <v>0</v>
      </c>
      <c r="U250" s="383">
        <f t="shared" si="116"/>
        <v>0</v>
      </c>
      <c r="V250" s="383">
        <f t="shared" si="116"/>
        <v>0</v>
      </c>
      <c r="W250" s="383">
        <f t="shared" si="116"/>
        <v>0</v>
      </c>
      <c r="X250" s="383">
        <f t="shared" si="116"/>
        <v>0</v>
      </c>
      <c r="Y250" s="383">
        <f t="shared" si="116"/>
        <v>0</v>
      </c>
      <c r="Z250" s="383">
        <f t="shared" si="116"/>
        <v>0</v>
      </c>
      <c r="AA250" s="383">
        <f t="shared" si="116"/>
        <v>0</v>
      </c>
      <c r="AB250" s="383">
        <f t="shared" si="116"/>
        <v>0</v>
      </c>
      <c r="AC250" s="383">
        <f t="shared" si="116"/>
        <v>0</v>
      </c>
      <c r="AD250" s="383">
        <f t="shared" si="116"/>
        <v>0</v>
      </c>
      <c r="AE250" s="383">
        <f t="shared" si="116"/>
        <v>0</v>
      </c>
      <c r="AF250" s="383">
        <f t="shared" si="116"/>
        <v>0</v>
      </c>
      <c r="AG250" s="383">
        <f t="shared" si="116"/>
        <v>0</v>
      </c>
      <c r="AH250" s="383">
        <f t="shared" si="116"/>
        <v>0</v>
      </c>
      <c r="AI250" s="383">
        <f t="shared" si="116"/>
        <v>0</v>
      </c>
      <c r="AJ250" s="383">
        <f t="shared" si="116"/>
        <v>0</v>
      </c>
      <c r="AK250" s="383">
        <f t="shared" si="116"/>
        <v>0</v>
      </c>
      <c r="AL250" s="383">
        <f t="shared" si="116"/>
        <v>0</v>
      </c>
      <c r="AM250" s="383">
        <f t="shared" si="116"/>
        <v>0</v>
      </c>
      <c r="AN250" s="383">
        <f t="shared" si="116"/>
        <v>0</v>
      </c>
      <c r="AO250" s="383">
        <f t="shared" si="116"/>
        <v>0</v>
      </c>
    </row>
    <row r="251" spans="3:43" x14ac:dyDescent="0.35">
      <c r="C251" s="24"/>
      <c r="F251" t="s">
        <v>1057</v>
      </c>
      <c r="G251" t="s">
        <v>269</v>
      </c>
      <c r="J251" s="322">
        <f t="shared" ref="J251:AO251" si="117">IF(J$238, SMALL(J$40:J$42,$H246), 0)</f>
        <v>0</v>
      </c>
      <c r="K251" s="322">
        <f t="shared" si="117"/>
        <v>0</v>
      </c>
      <c r="L251" s="322">
        <f t="shared" si="117"/>
        <v>0</v>
      </c>
      <c r="M251" s="322">
        <f t="shared" si="117"/>
        <v>0</v>
      </c>
      <c r="N251" s="322">
        <f t="shared" si="117"/>
        <v>0</v>
      </c>
      <c r="O251" s="322">
        <f t="shared" si="117"/>
        <v>0</v>
      </c>
      <c r="P251" s="322">
        <f t="shared" si="117"/>
        <v>0</v>
      </c>
      <c r="Q251" s="322">
        <f t="shared" si="117"/>
        <v>0</v>
      </c>
      <c r="R251" s="322">
        <f t="shared" si="117"/>
        <v>0</v>
      </c>
      <c r="S251" s="322">
        <f t="shared" si="117"/>
        <v>0</v>
      </c>
      <c r="T251" s="322">
        <f t="shared" si="117"/>
        <v>0</v>
      </c>
      <c r="U251" s="322">
        <f t="shared" si="117"/>
        <v>0</v>
      </c>
      <c r="V251" s="322">
        <f t="shared" si="117"/>
        <v>0</v>
      </c>
      <c r="W251" s="322">
        <f t="shared" si="117"/>
        <v>0</v>
      </c>
      <c r="X251" s="322">
        <f t="shared" si="117"/>
        <v>0</v>
      </c>
      <c r="Y251" s="322">
        <f t="shared" si="117"/>
        <v>0</v>
      </c>
      <c r="Z251" s="322">
        <f t="shared" si="117"/>
        <v>0</v>
      </c>
      <c r="AA251" s="322">
        <f t="shared" si="117"/>
        <v>0</v>
      </c>
      <c r="AB251" s="322">
        <f t="shared" si="117"/>
        <v>0</v>
      </c>
      <c r="AC251" s="322">
        <f t="shared" si="117"/>
        <v>0</v>
      </c>
      <c r="AD251" s="322">
        <f t="shared" si="117"/>
        <v>0</v>
      </c>
      <c r="AE251" s="322">
        <f t="shared" si="117"/>
        <v>0</v>
      </c>
      <c r="AF251" s="322">
        <f t="shared" si="117"/>
        <v>0</v>
      </c>
      <c r="AG251" s="322">
        <f t="shared" si="117"/>
        <v>0</v>
      </c>
      <c r="AH251" s="322">
        <f t="shared" si="117"/>
        <v>0</v>
      </c>
      <c r="AI251" s="322">
        <f t="shared" si="117"/>
        <v>0</v>
      </c>
      <c r="AJ251" s="322">
        <f t="shared" si="117"/>
        <v>0</v>
      </c>
      <c r="AK251" s="322">
        <f t="shared" si="117"/>
        <v>0</v>
      </c>
      <c r="AL251" s="322">
        <f t="shared" si="117"/>
        <v>0</v>
      </c>
      <c r="AM251" s="322">
        <f t="shared" si="117"/>
        <v>0</v>
      </c>
      <c r="AN251" s="322">
        <f t="shared" si="117"/>
        <v>0</v>
      </c>
      <c r="AO251" s="322">
        <f t="shared" si="117"/>
        <v>0</v>
      </c>
    </row>
    <row r="252" spans="3:43" x14ac:dyDescent="0.35">
      <c r="C252" s="24"/>
      <c r="F252" s="28" t="s">
        <v>1058</v>
      </c>
      <c r="G252" s="28" t="s">
        <v>269</v>
      </c>
      <c r="H252" s="28"/>
      <c r="I252" s="28"/>
      <c r="J252" s="384">
        <f t="shared" ref="J252:AO252" si="118">IF(J$238, SMALL(J$40:J$42,$H247), 0)</f>
        <v>0</v>
      </c>
      <c r="K252" s="384">
        <f t="shared" si="118"/>
        <v>0</v>
      </c>
      <c r="L252" s="384">
        <f t="shared" si="118"/>
        <v>0</v>
      </c>
      <c r="M252" s="384">
        <f t="shared" si="118"/>
        <v>0</v>
      </c>
      <c r="N252" s="384">
        <f t="shared" si="118"/>
        <v>0</v>
      </c>
      <c r="O252" s="384">
        <f t="shared" si="118"/>
        <v>0</v>
      </c>
      <c r="P252" s="384">
        <f t="shared" si="118"/>
        <v>0</v>
      </c>
      <c r="Q252" s="384">
        <f t="shared" si="118"/>
        <v>0</v>
      </c>
      <c r="R252" s="384">
        <f t="shared" si="118"/>
        <v>0</v>
      </c>
      <c r="S252" s="384">
        <f t="shared" si="118"/>
        <v>0</v>
      </c>
      <c r="T252" s="384">
        <f t="shared" si="118"/>
        <v>0</v>
      </c>
      <c r="U252" s="384">
        <f t="shared" si="118"/>
        <v>0</v>
      </c>
      <c r="V252" s="384">
        <f t="shared" si="118"/>
        <v>0</v>
      </c>
      <c r="W252" s="384">
        <f t="shared" si="118"/>
        <v>0</v>
      </c>
      <c r="X252" s="384">
        <f t="shared" si="118"/>
        <v>0</v>
      </c>
      <c r="Y252" s="384">
        <f t="shared" si="118"/>
        <v>0</v>
      </c>
      <c r="Z252" s="384">
        <f t="shared" si="118"/>
        <v>0</v>
      </c>
      <c r="AA252" s="384">
        <f t="shared" si="118"/>
        <v>0</v>
      </c>
      <c r="AB252" s="384">
        <f t="shared" si="118"/>
        <v>0</v>
      </c>
      <c r="AC252" s="384">
        <f t="shared" si="118"/>
        <v>0</v>
      </c>
      <c r="AD252" s="384">
        <f t="shared" si="118"/>
        <v>0</v>
      </c>
      <c r="AE252" s="384">
        <f t="shared" si="118"/>
        <v>0</v>
      </c>
      <c r="AF252" s="384">
        <f t="shared" si="118"/>
        <v>0</v>
      </c>
      <c r="AG252" s="384">
        <f t="shared" si="118"/>
        <v>0</v>
      </c>
      <c r="AH252" s="384">
        <f t="shared" si="118"/>
        <v>0</v>
      </c>
      <c r="AI252" s="384">
        <f t="shared" si="118"/>
        <v>0</v>
      </c>
      <c r="AJ252" s="384">
        <f t="shared" si="118"/>
        <v>0</v>
      </c>
      <c r="AK252" s="384">
        <f t="shared" si="118"/>
        <v>0</v>
      </c>
      <c r="AL252" s="384">
        <f t="shared" si="118"/>
        <v>0</v>
      </c>
      <c r="AM252" s="384">
        <f t="shared" si="118"/>
        <v>0</v>
      </c>
      <c r="AN252" s="384">
        <f t="shared" si="118"/>
        <v>0</v>
      </c>
      <c r="AO252" s="384">
        <f t="shared" si="118"/>
        <v>0</v>
      </c>
    </row>
    <row r="253" spans="3:43" x14ac:dyDescent="0.35">
      <c r="C253" s="24"/>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row>
    <row r="254" spans="3:43" x14ac:dyDescent="0.35">
      <c r="C254" s="24"/>
      <c r="E254" s="2" t="s">
        <v>1060</v>
      </c>
      <c r="I254" t="s">
        <v>154</v>
      </c>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Q254" t="s">
        <v>1149</v>
      </c>
    </row>
    <row r="255" spans="3:43" x14ac:dyDescent="0.35">
      <c r="C255" s="24"/>
      <c r="E255" s="2" t="s">
        <v>1061</v>
      </c>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row>
    <row r="256" spans="3:43" x14ac:dyDescent="0.35">
      <c r="C256" s="24"/>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row>
    <row r="257" spans="3:41" x14ac:dyDescent="0.35">
      <c r="C257" s="24"/>
      <c r="E257" s="27" t="s">
        <v>1062</v>
      </c>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row>
    <row r="258" spans="3:41" x14ac:dyDescent="0.35">
      <c r="C258" s="24"/>
      <c r="F258" s="19" t="s">
        <v>1056</v>
      </c>
      <c r="G258" s="19" t="s">
        <v>269</v>
      </c>
      <c r="H258" s="19"/>
      <c r="I258" s="19"/>
      <c r="J258" s="383">
        <f t="array" ref="J258">MIN(IF($J$150:$AO$150=J$150,$J250:$AO250))</f>
        <v>0</v>
      </c>
      <c r="K258" s="383">
        <f t="array" ref="K258">MIN(IF($J$150:$AO$150=K$150,$J250:$AO250))</f>
        <v>0</v>
      </c>
      <c r="L258" s="383">
        <f t="array" ref="L258">MIN(IF($J$150:$AO$150=L$150,$J250:$AO250))</f>
        <v>0</v>
      </c>
      <c r="M258" s="383">
        <f t="array" ref="M258">MIN(IF($J$150:$AO$150=M$150,$J250:$AO250))</f>
        <v>0</v>
      </c>
      <c r="N258" s="383">
        <f t="array" ref="N258">MIN(IF($J$150:$AO$150=N$150,$J250:$AO250))</f>
        <v>0</v>
      </c>
      <c r="O258" s="383">
        <f t="array" ref="O258">MIN(IF($J$150:$AO$150=O$150,$J250:$AO250))</f>
        <v>0</v>
      </c>
      <c r="P258" s="383">
        <f t="array" ref="P258">MIN(IF($J$150:$AO$150=P$150,$J250:$AO250))</f>
        <v>0</v>
      </c>
      <c r="Q258" s="383">
        <f t="array" ref="Q258">MIN(IF($J$150:$AO$150=Q$150,$J250:$AO250))</f>
        <v>0</v>
      </c>
      <c r="R258" s="383">
        <f t="array" ref="R258">MIN(IF($J$150:$AO$150=R$150,$J250:$AO250))</f>
        <v>0</v>
      </c>
      <c r="S258" s="383">
        <f t="array" ref="S258">MIN(IF($J$150:$AO$150=S$150,$J250:$AO250))</f>
        <v>0</v>
      </c>
      <c r="T258" s="383">
        <f t="array" ref="T258">MIN(IF($J$150:$AO$150=T$150,$J250:$AO250))</f>
        <v>0</v>
      </c>
      <c r="U258" s="383">
        <f t="array" ref="U258">MIN(IF($J$150:$AO$150=U$150,$J250:$AO250))</f>
        <v>0</v>
      </c>
      <c r="V258" s="383">
        <f t="array" ref="V258">MIN(IF($J$150:$AO$150=V$150,$J250:$AO250))</f>
        <v>0</v>
      </c>
      <c r="W258" s="383">
        <f t="array" ref="W258">MIN(IF($J$150:$AO$150=W$150,$J250:$AO250))</f>
        <v>0</v>
      </c>
      <c r="X258" s="383">
        <f t="array" ref="X258">MIN(IF($J$150:$AO$150=X$150,$J250:$AO250))</f>
        <v>0</v>
      </c>
      <c r="Y258" s="383">
        <f t="array" ref="Y258">MIN(IF($J$150:$AO$150=Y$150,$J250:$AO250))</f>
        <v>0</v>
      </c>
      <c r="Z258" s="383">
        <f t="array" ref="Z258">MIN(IF($J$150:$AO$150=Z$150,$J250:$AO250))</f>
        <v>0</v>
      </c>
      <c r="AA258" s="383">
        <f t="array" ref="AA258">MIN(IF($J$150:$AO$150=AA$150,$J250:$AO250))</f>
        <v>0</v>
      </c>
      <c r="AB258" s="383">
        <f t="array" ref="AB258">MIN(IF($J$150:$AO$150=AB$150,$J250:$AO250))</f>
        <v>0</v>
      </c>
      <c r="AC258" s="383">
        <f t="array" ref="AC258">MIN(IF($J$150:$AO$150=AC$150,$J250:$AO250))</f>
        <v>0</v>
      </c>
      <c r="AD258" s="383">
        <f t="array" ref="AD258">MIN(IF($J$150:$AO$150=AD$150,$J250:$AO250))</f>
        <v>0</v>
      </c>
      <c r="AE258" s="383">
        <f t="array" ref="AE258">MIN(IF($J$150:$AO$150=AE$150,$J250:$AO250))</f>
        <v>0</v>
      </c>
      <c r="AF258" s="383">
        <f t="array" ref="AF258">MIN(IF($J$150:$AO$150=AF$150,$J250:$AO250))</f>
        <v>0</v>
      </c>
      <c r="AG258" s="383">
        <f t="array" ref="AG258">MIN(IF($J$150:$AO$150=AG$150,$J250:$AO250))</f>
        <v>0</v>
      </c>
      <c r="AH258" s="383">
        <f t="array" ref="AH258">MIN(IF($J$150:$AO$150=AH$150,$J250:$AO250))</f>
        <v>0</v>
      </c>
      <c r="AI258" s="383">
        <f t="array" ref="AI258">MIN(IF($J$150:$AO$150=AI$150,$J250:$AO250))</f>
        <v>0</v>
      </c>
      <c r="AJ258" s="383">
        <f t="array" ref="AJ258">MIN(IF($J$150:$AO$150=AJ$150,$J250:$AO250))</f>
        <v>0</v>
      </c>
      <c r="AK258" s="383">
        <f t="array" ref="AK258">MIN(IF($J$150:$AO$150=AK$150,$J250:$AO250))</f>
        <v>0</v>
      </c>
      <c r="AL258" s="383">
        <f t="array" ref="AL258">MIN(IF($J$150:$AO$150=AL$150,$J250:$AO250))</f>
        <v>0</v>
      </c>
      <c r="AM258" s="383">
        <f t="array" ref="AM258">MIN(IF($J$150:$AO$150=AM$150,$J250:$AO250))</f>
        <v>0</v>
      </c>
      <c r="AN258" s="383">
        <f t="array" ref="AN258">MIN(IF($J$150:$AO$150=AN$150,$J250:$AO250))</f>
        <v>0</v>
      </c>
      <c r="AO258" s="383">
        <f t="array" ref="AO258">MIN(IF($J$150:$AO$150=AO$150,$J250:$AO250))</f>
        <v>0</v>
      </c>
    </row>
    <row r="259" spans="3:41" x14ac:dyDescent="0.35">
      <c r="C259" s="24"/>
      <c r="F259" t="s">
        <v>1057</v>
      </c>
      <c r="G259" t="s">
        <v>269</v>
      </c>
      <c r="J259" s="322">
        <f t="array" ref="J259">MIN(IF($J$150:$AO$150=J$150,$J251:$AO251))</f>
        <v>0</v>
      </c>
      <c r="K259" s="322">
        <f t="array" ref="K259">MIN(IF($J$150:$AO$150=K$150,$J251:$AO251))</f>
        <v>0</v>
      </c>
      <c r="L259" s="322">
        <f t="array" ref="L259">MIN(IF($J$150:$AO$150=L$150,$J251:$AO251))</f>
        <v>0</v>
      </c>
      <c r="M259" s="322">
        <f t="array" ref="M259">MIN(IF($J$150:$AO$150=M$150,$J251:$AO251))</f>
        <v>0</v>
      </c>
      <c r="N259" s="322">
        <f t="array" ref="N259">MIN(IF($J$150:$AO$150=N$150,$J251:$AO251))</f>
        <v>0</v>
      </c>
      <c r="O259" s="322">
        <f t="array" ref="O259">MIN(IF($J$150:$AO$150=O$150,$J251:$AO251))</f>
        <v>0</v>
      </c>
      <c r="P259" s="322">
        <f t="array" ref="P259">MIN(IF($J$150:$AO$150=P$150,$J251:$AO251))</f>
        <v>0</v>
      </c>
      <c r="Q259" s="322">
        <f t="array" ref="Q259">MIN(IF($J$150:$AO$150=Q$150,$J251:$AO251))</f>
        <v>0</v>
      </c>
      <c r="R259" s="322">
        <f t="array" ref="R259">MIN(IF($J$150:$AO$150=R$150,$J251:$AO251))</f>
        <v>0</v>
      </c>
      <c r="S259" s="322">
        <f t="array" ref="S259">MIN(IF($J$150:$AO$150=S$150,$J251:$AO251))</f>
        <v>0</v>
      </c>
      <c r="T259" s="322">
        <f t="array" ref="T259">MIN(IF($J$150:$AO$150=T$150,$J251:$AO251))</f>
        <v>0</v>
      </c>
      <c r="U259" s="322">
        <f t="array" ref="U259">MIN(IF($J$150:$AO$150=U$150,$J251:$AO251))</f>
        <v>0</v>
      </c>
      <c r="V259" s="322">
        <f t="array" ref="V259">MIN(IF($J$150:$AO$150=V$150,$J251:$AO251))</f>
        <v>0</v>
      </c>
      <c r="W259" s="322">
        <f t="array" ref="W259">MIN(IF($J$150:$AO$150=W$150,$J251:$AO251))</f>
        <v>0</v>
      </c>
      <c r="X259" s="322">
        <f t="array" ref="X259">MIN(IF($J$150:$AO$150=X$150,$J251:$AO251))</f>
        <v>0</v>
      </c>
      <c r="Y259" s="322">
        <f t="array" ref="Y259">MIN(IF($J$150:$AO$150=Y$150,$J251:$AO251))</f>
        <v>0</v>
      </c>
      <c r="Z259" s="322">
        <f t="array" ref="Z259">MIN(IF($J$150:$AO$150=Z$150,$J251:$AO251))</f>
        <v>0</v>
      </c>
      <c r="AA259" s="322">
        <f t="array" ref="AA259">MIN(IF($J$150:$AO$150=AA$150,$J251:$AO251))</f>
        <v>0</v>
      </c>
      <c r="AB259" s="322">
        <f t="array" ref="AB259">MIN(IF($J$150:$AO$150=AB$150,$J251:$AO251))</f>
        <v>0</v>
      </c>
      <c r="AC259" s="322">
        <f t="array" ref="AC259">MIN(IF($J$150:$AO$150=AC$150,$J251:$AO251))</f>
        <v>0</v>
      </c>
      <c r="AD259" s="322">
        <f t="array" ref="AD259">MIN(IF($J$150:$AO$150=AD$150,$J251:$AO251))</f>
        <v>0</v>
      </c>
      <c r="AE259" s="322">
        <f t="array" ref="AE259">MIN(IF($J$150:$AO$150=AE$150,$J251:$AO251))</f>
        <v>0</v>
      </c>
      <c r="AF259" s="322">
        <f t="array" ref="AF259">MIN(IF($J$150:$AO$150=AF$150,$J251:$AO251))</f>
        <v>0</v>
      </c>
      <c r="AG259" s="322">
        <f t="array" ref="AG259">MIN(IF($J$150:$AO$150=AG$150,$J251:$AO251))</f>
        <v>0</v>
      </c>
      <c r="AH259" s="322">
        <f t="array" ref="AH259">MIN(IF($J$150:$AO$150=AH$150,$J251:$AO251))</f>
        <v>0</v>
      </c>
      <c r="AI259" s="322">
        <f t="array" ref="AI259">MIN(IF($J$150:$AO$150=AI$150,$J251:$AO251))</f>
        <v>0</v>
      </c>
      <c r="AJ259" s="322">
        <f t="array" ref="AJ259">MIN(IF($J$150:$AO$150=AJ$150,$J251:$AO251))</f>
        <v>0</v>
      </c>
      <c r="AK259" s="322">
        <f t="array" ref="AK259">MIN(IF($J$150:$AO$150=AK$150,$J251:$AO251))</f>
        <v>0</v>
      </c>
      <c r="AL259" s="322">
        <f t="array" ref="AL259">MIN(IF($J$150:$AO$150=AL$150,$J251:$AO251))</f>
        <v>0</v>
      </c>
      <c r="AM259" s="322">
        <f t="array" ref="AM259">MIN(IF($J$150:$AO$150=AM$150,$J251:$AO251))</f>
        <v>0</v>
      </c>
      <c r="AN259" s="322">
        <f t="array" ref="AN259">MIN(IF($J$150:$AO$150=AN$150,$J251:$AO251))</f>
        <v>0</v>
      </c>
      <c r="AO259" s="322">
        <f t="array" ref="AO259">MIN(IF($J$150:$AO$150=AO$150,$J251:$AO251))</f>
        <v>0</v>
      </c>
    </row>
    <row r="260" spans="3:41" x14ac:dyDescent="0.35">
      <c r="C260" s="24"/>
      <c r="F260" s="28" t="s">
        <v>1058</v>
      </c>
      <c r="G260" s="28" t="s">
        <v>269</v>
      </c>
      <c r="H260" s="28"/>
      <c r="I260" s="28"/>
      <c r="J260" s="384">
        <f t="array" ref="J260">MIN(IF($J$150:$AO$150=J$150,$J252:$AO252))</f>
        <v>0</v>
      </c>
      <c r="K260" s="384">
        <f t="array" ref="K260">MIN(IF($J$150:$AO$150=K$150,$J252:$AO252))</f>
        <v>0</v>
      </c>
      <c r="L260" s="384">
        <f t="array" ref="L260">MIN(IF($J$150:$AO$150=L$150,$J252:$AO252))</f>
        <v>0</v>
      </c>
      <c r="M260" s="384">
        <f t="array" ref="M260">MIN(IF($J$150:$AO$150=M$150,$J252:$AO252))</f>
        <v>0</v>
      </c>
      <c r="N260" s="384">
        <f t="array" ref="N260">MIN(IF($J$150:$AO$150=N$150,$J252:$AO252))</f>
        <v>0</v>
      </c>
      <c r="O260" s="384">
        <f t="array" ref="O260">MIN(IF($J$150:$AO$150=O$150,$J252:$AO252))</f>
        <v>0</v>
      </c>
      <c r="P260" s="384">
        <f t="array" ref="P260">MIN(IF($J$150:$AO$150=P$150,$J252:$AO252))</f>
        <v>0</v>
      </c>
      <c r="Q260" s="384">
        <f t="array" ref="Q260">MIN(IF($J$150:$AO$150=Q$150,$J252:$AO252))</f>
        <v>0</v>
      </c>
      <c r="R260" s="384">
        <f t="array" ref="R260">MIN(IF($J$150:$AO$150=R$150,$J252:$AO252))</f>
        <v>0</v>
      </c>
      <c r="S260" s="384">
        <f t="array" ref="S260">MIN(IF($J$150:$AO$150=S$150,$J252:$AO252))</f>
        <v>0</v>
      </c>
      <c r="T260" s="384">
        <f t="array" ref="T260">MIN(IF($J$150:$AO$150=T$150,$J252:$AO252))</f>
        <v>0</v>
      </c>
      <c r="U260" s="384">
        <f t="array" ref="U260">MIN(IF($J$150:$AO$150=U$150,$J252:$AO252))</f>
        <v>0</v>
      </c>
      <c r="V260" s="384">
        <f t="array" ref="V260">MIN(IF($J$150:$AO$150=V$150,$J252:$AO252))</f>
        <v>0</v>
      </c>
      <c r="W260" s="384">
        <f t="array" ref="W260">MIN(IF($J$150:$AO$150=W$150,$J252:$AO252))</f>
        <v>0</v>
      </c>
      <c r="X260" s="384">
        <f t="array" ref="X260">MIN(IF($J$150:$AO$150=X$150,$J252:$AO252))</f>
        <v>0</v>
      </c>
      <c r="Y260" s="384">
        <f t="array" ref="Y260">MIN(IF($J$150:$AO$150=Y$150,$J252:$AO252))</f>
        <v>0</v>
      </c>
      <c r="Z260" s="384">
        <f t="array" ref="Z260">MIN(IF($J$150:$AO$150=Z$150,$J252:$AO252))</f>
        <v>0</v>
      </c>
      <c r="AA260" s="384">
        <f t="array" ref="AA260">MIN(IF($J$150:$AO$150=AA$150,$J252:$AO252))</f>
        <v>0</v>
      </c>
      <c r="AB260" s="384">
        <f t="array" ref="AB260">MIN(IF($J$150:$AO$150=AB$150,$J252:$AO252))</f>
        <v>0</v>
      </c>
      <c r="AC260" s="384">
        <f t="array" ref="AC260">MIN(IF($J$150:$AO$150=AC$150,$J252:$AO252))</f>
        <v>0</v>
      </c>
      <c r="AD260" s="384">
        <f t="array" ref="AD260">MIN(IF($J$150:$AO$150=AD$150,$J252:$AO252))</f>
        <v>0</v>
      </c>
      <c r="AE260" s="384">
        <f t="array" ref="AE260">MIN(IF($J$150:$AO$150=AE$150,$J252:$AO252))</f>
        <v>0</v>
      </c>
      <c r="AF260" s="384">
        <f t="array" ref="AF260">MIN(IF($J$150:$AO$150=AF$150,$J252:$AO252))</f>
        <v>0</v>
      </c>
      <c r="AG260" s="384">
        <f t="array" ref="AG260">MIN(IF($J$150:$AO$150=AG$150,$J252:$AO252))</f>
        <v>0</v>
      </c>
      <c r="AH260" s="384">
        <f t="array" ref="AH260">MIN(IF($J$150:$AO$150=AH$150,$J252:$AO252))</f>
        <v>0</v>
      </c>
      <c r="AI260" s="384">
        <f t="array" ref="AI260">MIN(IF($J$150:$AO$150=AI$150,$J252:$AO252))</f>
        <v>0</v>
      </c>
      <c r="AJ260" s="384">
        <f t="array" ref="AJ260">MIN(IF($J$150:$AO$150=AJ$150,$J252:$AO252))</f>
        <v>0</v>
      </c>
      <c r="AK260" s="384">
        <f t="array" ref="AK260">MIN(IF($J$150:$AO$150=AK$150,$J252:$AO252))</f>
        <v>0</v>
      </c>
      <c r="AL260" s="384">
        <f t="array" ref="AL260">MIN(IF($J$150:$AO$150=AL$150,$J252:$AO252))</f>
        <v>0</v>
      </c>
      <c r="AM260" s="384">
        <f t="array" ref="AM260">MIN(IF($J$150:$AO$150=AM$150,$J252:$AO252))</f>
        <v>0</v>
      </c>
      <c r="AN260" s="384">
        <f t="array" ref="AN260">MIN(IF($J$150:$AO$150=AN$150,$J252:$AO252))</f>
        <v>0</v>
      </c>
      <c r="AO260" s="384">
        <f t="array" ref="AO260">MIN(IF($J$150:$AO$150=AO$150,$J252:$AO252))</f>
        <v>0</v>
      </c>
    </row>
    <row r="261" spans="3:41" x14ac:dyDescent="0.35">
      <c r="C261" s="24"/>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row>
    <row r="262" spans="3:41" x14ac:dyDescent="0.35">
      <c r="C262" s="24"/>
      <c r="E262" s="27" t="s">
        <v>1063</v>
      </c>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row>
    <row r="263" spans="3:41" x14ac:dyDescent="0.35">
      <c r="C263" s="24"/>
      <c r="F263" s="19" t="s">
        <v>1056</v>
      </c>
      <c r="G263" s="19" t="s">
        <v>269</v>
      </c>
      <c r="H263" s="19"/>
      <c r="I263" s="19"/>
      <c r="J263" s="383">
        <f xml:space="preserve"> - J258</f>
        <v>0</v>
      </c>
      <c r="K263" s="383">
        <f t="shared" ref="K263:AO263" si="119" xml:space="preserve"> - K258</f>
        <v>0</v>
      </c>
      <c r="L263" s="383">
        <f t="shared" si="119"/>
        <v>0</v>
      </c>
      <c r="M263" s="383">
        <f t="shared" si="119"/>
        <v>0</v>
      </c>
      <c r="N263" s="383">
        <f t="shared" si="119"/>
        <v>0</v>
      </c>
      <c r="O263" s="383">
        <f t="shared" si="119"/>
        <v>0</v>
      </c>
      <c r="P263" s="383">
        <f t="shared" si="119"/>
        <v>0</v>
      </c>
      <c r="Q263" s="383">
        <f t="shared" si="119"/>
        <v>0</v>
      </c>
      <c r="R263" s="383">
        <f t="shared" si="119"/>
        <v>0</v>
      </c>
      <c r="S263" s="383">
        <f t="shared" si="119"/>
        <v>0</v>
      </c>
      <c r="T263" s="383">
        <f t="shared" si="119"/>
        <v>0</v>
      </c>
      <c r="U263" s="383">
        <f t="shared" si="119"/>
        <v>0</v>
      </c>
      <c r="V263" s="383">
        <f t="shared" si="119"/>
        <v>0</v>
      </c>
      <c r="W263" s="383">
        <f t="shared" si="119"/>
        <v>0</v>
      </c>
      <c r="X263" s="383">
        <f t="shared" si="119"/>
        <v>0</v>
      </c>
      <c r="Y263" s="383">
        <f t="shared" si="119"/>
        <v>0</v>
      </c>
      <c r="Z263" s="383">
        <f t="shared" si="119"/>
        <v>0</v>
      </c>
      <c r="AA263" s="383">
        <f t="shared" si="119"/>
        <v>0</v>
      </c>
      <c r="AB263" s="383">
        <f t="shared" si="119"/>
        <v>0</v>
      </c>
      <c r="AC263" s="383">
        <f t="shared" si="119"/>
        <v>0</v>
      </c>
      <c r="AD263" s="383">
        <f t="shared" si="119"/>
        <v>0</v>
      </c>
      <c r="AE263" s="383">
        <f t="shared" si="119"/>
        <v>0</v>
      </c>
      <c r="AF263" s="383">
        <f t="shared" si="119"/>
        <v>0</v>
      </c>
      <c r="AG263" s="383">
        <f t="shared" si="119"/>
        <v>0</v>
      </c>
      <c r="AH263" s="383">
        <f t="shared" si="119"/>
        <v>0</v>
      </c>
      <c r="AI263" s="383">
        <f t="shared" si="119"/>
        <v>0</v>
      </c>
      <c r="AJ263" s="383">
        <f t="shared" si="119"/>
        <v>0</v>
      </c>
      <c r="AK263" s="383">
        <f t="shared" si="119"/>
        <v>0</v>
      </c>
      <c r="AL263" s="383">
        <f t="shared" si="119"/>
        <v>0</v>
      </c>
      <c r="AM263" s="383">
        <f t="shared" si="119"/>
        <v>0</v>
      </c>
      <c r="AN263" s="383">
        <f t="shared" si="119"/>
        <v>0</v>
      </c>
      <c r="AO263" s="383">
        <f t="shared" si="119"/>
        <v>0</v>
      </c>
    </row>
    <row r="264" spans="3:41" x14ac:dyDescent="0.35">
      <c r="C264" s="24"/>
      <c r="F264" t="s">
        <v>1057</v>
      </c>
      <c r="G264" t="s">
        <v>269</v>
      </c>
      <c r="J264" s="322">
        <f t="shared" ref="J264:AO265" si="120" xml:space="preserve"> - J259</f>
        <v>0</v>
      </c>
      <c r="K264" s="322">
        <f t="shared" si="120"/>
        <v>0</v>
      </c>
      <c r="L264" s="322">
        <f t="shared" si="120"/>
        <v>0</v>
      </c>
      <c r="M264" s="322">
        <f t="shared" si="120"/>
        <v>0</v>
      </c>
      <c r="N264" s="322">
        <f t="shared" si="120"/>
        <v>0</v>
      </c>
      <c r="O264" s="322">
        <f t="shared" si="120"/>
        <v>0</v>
      </c>
      <c r="P264" s="322">
        <f t="shared" si="120"/>
        <v>0</v>
      </c>
      <c r="Q264" s="322">
        <f t="shared" si="120"/>
        <v>0</v>
      </c>
      <c r="R264" s="322">
        <f t="shared" si="120"/>
        <v>0</v>
      </c>
      <c r="S264" s="322">
        <f t="shared" si="120"/>
        <v>0</v>
      </c>
      <c r="T264" s="322">
        <f t="shared" si="120"/>
        <v>0</v>
      </c>
      <c r="U264" s="322">
        <f t="shared" si="120"/>
        <v>0</v>
      </c>
      <c r="V264" s="322">
        <f t="shared" si="120"/>
        <v>0</v>
      </c>
      <c r="W264" s="322">
        <f t="shared" si="120"/>
        <v>0</v>
      </c>
      <c r="X264" s="322">
        <f t="shared" si="120"/>
        <v>0</v>
      </c>
      <c r="Y264" s="322">
        <f t="shared" si="120"/>
        <v>0</v>
      </c>
      <c r="Z264" s="322">
        <f t="shared" si="120"/>
        <v>0</v>
      </c>
      <c r="AA264" s="322">
        <f t="shared" si="120"/>
        <v>0</v>
      </c>
      <c r="AB264" s="322">
        <f t="shared" si="120"/>
        <v>0</v>
      </c>
      <c r="AC264" s="322">
        <f t="shared" si="120"/>
        <v>0</v>
      </c>
      <c r="AD264" s="322">
        <f t="shared" si="120"/>
        <v>0</v>
      </c>
      <c r="AE264" s="322">
        <f t="shared" si="120"/>
        <v>0</v>
      </c>
      <c r="AF264" s="322">
        <f t="shared" si="120"/>
        <v>0</v>
      </c>
      <c r="AG264" s="322">
        <f t="shared" si="120"/>
        <v>0</v>
      </c>
      <c r="AH264" s="322">
        <f t="shared" si="120"/>
        <v>0</v>
      </c>
      <c r="AI264" s="322">
        <f t="shared" si="120"/>
        <v>0</v>
      </c>
      <c r="AJ264" s="322">
        <f t="shared" si="120"/>
        <v>0</v>
      </c>
      <c r="AK264" s="322">
        <f t="shared" si="120"/>
        <v>0</v>
      </c>
      <c r="AL264" s="322">
        <f t="shared" si="120"/>
        <v>0</v>
      </c>
      <c r="AM264" s="322">
        <f t="shared" si="120"/>
        <v>0</v>
      </c>
      <c r="AN264" s="322">
        <f t="shared" si="120"/>
        <v>0</v>
      </c>
      <c r="AO264" s="322">
        <f t="shared" si="120"/>
        <v>0</v>
      </c>
    </row>
    <row r="265" spans="3:41" x14ac:dyDescent="0.35">
      <c r="C265" s="24"/>
      <c r="F265" s="28" t="s">
        <v>1058</v>
      </c>
      <c r="G265" s="28" t="s">
        <v>269</v>
      </c>
      <c r="H265" s="28"/>
      <c r="I265" s="28"/>
      <c r="J265" s="384">
        <f t="shared" si="120"/>
        <v>0</v>
      </c>
      <c r="K265" s="384">
        <f t="shared" si="120"/>
        <v>0</v>
      </c>
      <c r="L265" s="384">
        <f t="shared" si="120"/>
        <v>0</v>
      </c>
      <c r="M265" s="384">
        <f t="shared" si="120"/>
        <v>0</v>
      </c>
      <c r="N265" s="384">
        <f t="shared" si="120"/>
        <v>0</v>
      </c>
      <c r="O265" s="384">
        <f t="shared" si="120"/>
        <v>0</v>
      </c>
      <c r="P265" s="384">
        <f t="shared" si="120"/>
        <v>0</v>
      </c>
      <c r="Q265" s="384">
        <f t="shared" si="120"/>
        <v>0</v>
      </c>
      <c r="R265" s="384">
        <f t="shared" si="120"/>
        <v>0</v>
      </c>
      <c r="S265" s="384">
        <f t="shared" si="120"/>
        <v>0</v>
      </c>
      <c r="T265" s="384">
        <f t="shared" si="120"/>
        <v>0</v>
      </c>
      <c r="U265" s="384">
        <f t="shared" si="120"/>
        <v>0</v>
      </c>
      <c r="V265" s="384">
        <f t="shared" si="120"/>
        <v>0</v>
      </c>
      <c r="W265" s="384">
        <f t="shared" si="120"/>
        <v>0</v>
      </c>
      <c r="X265" s="384">
        <f t="shared" si="120"/>
        <v>0</v>
      </c>
      <c r="Y265" s="384">
        <f t="shared" si="120"/>
        <v>0</v>
      </c>
      <c r="Z265" s="384">
        <f t="shared" si="120"/>
        <v>0</v>
      </c>
      <c r="AA265" s="384">
        <f t="shared" si="120"/>
        <v>0</v>
      </c>
      <c r="AB265" s="384">
        <f t="shared" si="120"/>
        <v>0</v>
      </c>
      <c r="AC265" s="384">
        <f t="shared" si="120"/>
        <v>0</v>
      </c>
      <c r="AD265" s="384">
        <f t="shared" si="120"/>
        <v>0</v>
      </c>
      <c r="AE265" s="384">
        <f t="shared" si="120"/>
        <v>0</v>
      </c>
      <c r="AF265" s="384">
        <f t="shared" si="120"/>
        <v>0</v>
      </c>
      <c r="AG265" s="384">
        <f t="shared" si="120"/>
        <v>0</v>
      </c>
      <c r="AH265" s="384">
        <f t="shared" si="120"/>
        <v>0</v>
      </c>
      <c r="AI265" s="384">
        <f t="shared" si="120"/>
        <v>0</v>
      </c>
      <c r="AJ265" s="384">
        <f t="shared" si="120"/>
        <v>0</v>
      </c>
      <c r="AK265" s="384">
        <f t="shared" si="120"/>
        <v>0</v>
      </c>
      <c r="AL265" s="384">
        <f t="shared" si="120"/>
        <v>0</v>
      </c>
      <c r="AM265" s="384">
        <f t="shared" si="120"/>
        <v>0</v>
      </c>
      <c r="AN265" s="384">
        <f t="shared" si="120"/>
        <v>0</v>
      </c>
      <c r="AO265" s="384">
        <f t="shared" si="120"/>
        <v>0</v>
      </c>
    </row>
    <row r="266" spans="3:41" x14ac:dyDescent="0.35">
      <c r="C266" s="24"/>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row>
    <row r="267" spans="3:41" x14ac:dyDescent="0.35">
      <c r="C267" s="24"/>
      <c r="E267" s="27" t="s">
        <v>1064</v>
      </c>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row>
    <row r="268" spans="3:41" x14ac:dyDescent="0.35">
      <c r="C268" s="24"/>
      <c r="F268" s="19" t="s">
        <v>1056</v>
      </c>
      <c r="G268" s="19" t="s">
        <v>149</v>
      </c>
      <c r="H268" s="19"/>
      <c r="I268" s="19"/>
      <c r="J268" s="344">
        <f t="shared" ref="J268:AO268" si="121">IF(J$238,MATCH(J250,J$40:J$42,0), 0)</f>
        <v>0</v>
      </c>
      <c r="K268" s="344">
        <f t="shared" si="121"/>
        <v>0</v>
      </c>
      <c r="L268" s="344">
        <f t="shared" si="121"/>
        <v>0</v>
      </c>
      <c r="M268" s="344">
        <f t="shared" si="121"/>
        <v>0</v>
      </c>
      <c r="N268" s="344">
        <f t="shared" si="121"/>
        <v>0</v>
      </c>
      <c r="O268" s="344">
        <f t="shared" si="121"/>
        <v>0</v>
      </c>
      <c r="P268" s="344">
        <f t="shared" si="121"/>
        <v>0</v>
      </c>
      <c r="Q268" s="344">
        <f t="shared" si="121"/>
        <v>0</v>
      </c>
      <c r="R268" s="344">
        <f t="shared" si="121"/>
        <v>0</v>
      </c>
      <c r="S268" s="344">
        <f t="shared" si="121"/>
        <v>0</v>
      </c>
      <c r="T268" s="344">
        <f t="shared" si="121"/>
        <v>0</v>
      </c>
      <c r="U268" s="344">
        <f t="shared" si="121"/>
        <v>0</v>
      </c>
      <c r="V268" s="344">
        <f t="shared" si="121"/>
        <v>0</v>
      </c>
      <c r="W268" s="344">
        <f t="shared" si="121"/>
        <v>0</v>
      </c>
      <c r="X268" s="344">
        <f t="shared" si="121"/>
        <v>0</v>
      </c>
      <c r="Y268" s="344">
        <f t="shared" si="121"/>
        <v>0</v>
      </c>
      <c r="Z268" s="344">
        <f t="shared" si="121"/>
        <v>0</v>
      </c>
      <c r="AA268" s="344">
        <f t="shared" si="121"/>
        <v>0</v>
      </c>
      <c r="AB268" s="344">
        <f t="shared" si="121"/>
        <v>0</v>
      </c>
      <c r="AC268" s="344">
        <f t="shared" si="121"/>
        <v>0</v>
      </c>
      <c r="AD268" s="344">
        <f t="shared" si="121"/>
        <v>0</v>
      </c>
      <c r="AE268" s="344">
        <f t="shared" si="121"/>
        <v>0</v>
      </c>
      <c r="AF268" s="344">
        <f t="shared" si="121"/>
        <v>0</v>
      </c>
      <c r="AG268" s="344">
        <f t="shared" si="121"/>
        <v>0</v>
      </c>
      <c r="AH268" s="344">
        <f t="shared" si="121"/>
        <v>0</v>
      </c>
      <c r="AI268" s="344">
        <f t="shared" si="121"/>
        <v>0</v>
      </c>
      <c r="AJ268" s="344">
        <f t="shared" si="121"/>
        <v>0</v>
      </c>
      <c r="AK268" s="344">
        <f t="shared" si="121"/>
        <v>0</v>
      </c>
      <c r="AL268" s="344">
        <f t="shared" si="121"/>
        <v>0</v>
      </c>
      <c r="AM268" s="344">
        <f t="shared" si="121"/>
        <v>0</v>
      </c>
      <c r="AN268" s="344">
        <f t="shared" si="121"/>
        <v>0</v>
      </c>
      <c r="AO268" s="344">
        <f t="shared" si="121"/>
        <v>0</v>
      </c>
    </row>
    <row r="269" spans="3:41" x14ac:dyDescent="0.35">
      <c r="C269" s="24"/>
      <c r="F269" t="s">
        <v>1057</v>
      </c>
      <c r="G269" t="s">
        <v>149</v>
      </c>
      <c r="J269" s="319">
        <f t="shared" ref="J269:AO269" si="122">IF(J$238,MATCH(J251,J$40:J$42,0), 0)</f>
        <v>0</v>
      </c>
      <c r="K269" s="319">
        <f t="shared" si="122"/>
        <v>0</v>
      </c>
      <c r="L269" s="319">
        <f t="shared" si="122"/>
        <v>0</v>
      </c>
      <c r="M269" s="319">
        <f t="shared" si="122"/>
        <v>0</v>
      </c>
      <c r="N269" s="319">
        <f t="shared" si="122"/>
        <v>0</v>
      </c>
      <c r="O269" s="319">
        <f t="shared" si="122"/>
        <v>0</v>
      </c>
      <c r="P269" s="319">
        <f t="shared" si="122"/>
        <v>0</v>
      </c>
      <c r="Q269" s="319">
        <f t="shared" si="122"/>
        <v>0</v>
      </c>
      <c r="R269" s="319">
        <f t="shared" si="122"/>
        <v>0</v>
      </c>
      <c r="S269" s="319">
        <f t="shared" si="122"/>
        <v>0</v>
      </c>
      <c r="T269" s="319">
        <f t="shared" si="122"/>
        <v>0</v>
      </c>
      <c r="U269" s="319">
        <f t="shared" si="122"/>
        <v>0</v>
      </c>
      <c r="V269" s="319">
        <f t="shared" si="122"/>
        <v>0</v>
      </c>
      <c r="W269" s="319">
        <f t="shared" si="122"/>
        <v>0</v>
      </c>
      <c r="X269" s="319">
        <f t="shared" si="122"/>
        <v>0</v>
      </c>
      <c r="Y269" s="319">
        <f t="shared" si="122"/>
        <v>0</v>
      </c>
      <c r="Z269" s="319">
        <f t="shared" si="122"/>
        <v>0</v>
      </c>
      <c r="AA269" s="319">
        <f t="shared" si="122"/>
        <v>0</v>
      </c>
      <c r="AB269" s="319">
        <f t="shared" si="122"/>
        <v>0</v>
      </c>
      <c r="AC269" s="319">
        <f t="shared" si="122"/>
        <v>0</v>
      </c>
      <c r="AD269" s="319">
        <f t="shared" si="122"/>
        <v>0</v>
      </c>
      <c r="AE269" s="319">
        <f t="shared" si="122"/>
        <v>0</v>
      </c>
      <c r="AF269" s="319">
        <f t="shared" si="122"/>
        <v>0</v>
      </c>
      <c r="AG269" s="319">
        <f t="shared" si="122"/>
        <v>0</v>
      </c>
      <c r="AH269" s="319">
        <f t="shared" si="122"/>
        <v>0</v>
      </c>
      <c r="AI269" s="319">
        <f t="shared" si="122"/>
        <v>0</v>
      </c>
      <c r="AJ269" s="319">
        <f t="shared" si="122"/>
        <v>0</v>
      </c>
      <c r="AK269" s="319">
        <f t="shared" si="122"/>
        <v>0</v>
      </c>
      <c r="AL269" s="319">
        <f t="shared" si="122"/>
        <v>0</v>
      </c>
      <c r="AM269" s="319">
        <f t="shared" si="122"/>
        <v>0</v>
      </c>
      <c r="AN269" s="319">
        <f t="shared" si="122"/>
        <v>0</v>
      </c>
      <c r="AO269" s="319">
        <f t="shared" si="122"/>
        <v>0</v>
      </c>
    </row>
    <row r="270" spans="3:41" x14ac:dyDescent="0.35">
      <c r="C270" s="24"/>
      <c r="F270" s="28" t="s">
        <v>1058</v>
      </c>
      <c r="G270" s="28" t="s">
        <v>149</v>
      </c>
      <c r="H270" s="28"/>
      <c r="I270" s="28"/>
      <c r="J270" s="345">
        <f t="shared" ref="J270:AO270" si="123">IF(J$238,MATCH(J252,J$40:J$42,0), 0)</f>
        <v>0</v>
      </c>
      <c r="K270" s="345">
        <f t="shared" si="123"/>
        <v>0</v>
      </c>
      <c r="L270" s="345">
        <f t="shared" si="123"/>
        <v>0</v>
      </c>
      <c r="M270" s="345">
        <f t="shared" si="123"/>
        <v>0</v>
      </c>
      <c r="N270" s="345">
        <f t="shared" si="123"/>
        <v>0</v>
      </c>
      <c r="O270" s="345">
        <f t="shared" si="123"/>
        <v>0</v>
      </c>
      <c r="P270" s="345">
        <f t="shared" si="123"/>
        <v>0</v>
      </c>
      <c r="Q270" s="345">
        <f t="shared" si="123"/>
        <v>0</v>
      </c>
      <c r="R270" s="345">
        <f t="shared" si="123"/>
        <v>0</v>
      </c>
      <c r="S270" s="345">
        <f t="shared" si="123"/>
        <v>0</v>
      </c>
      <c r="T270" s="345">
        <f t="shared" si="123"/>
        <v>0</v>
      </c>
      <c r="U270" s="345">
        <f t="shared" si="123"/>
        <v>0</v>
      </c>
      <c r="V270" s="345">
        <f t="shared" si="123"/>
        <v>0</v>
      </c>
      <c r="W270" s="345">
        <f t="shared" si="123"/>
        <v>0</v>
      </c>
      <c r="X270" s="345">
        <f t="shared" si="123"/>
        <v>0</v>
      </c>
      <c r="Y270" s="345">
        <f t="shared" si="123"/>
        <v>0</v>
      </c>
      <c r="Z270" s="345">
        <f t="shared" si="123"/>
        <v>0</v>
      </c>
      <c r="AA270" s="345">
        <f t="shared" si="123"/>
        <v>0</v>
      </c>
      <c r="AB270" s="345">
        <f t="shared" si="123"/>
        <v>0</v>
      </c>
      <c r="AC270" s="345">
        <f t="shared" si="123"/>
        <v>0</v>
      </c>
      <c r="AD270" s="345">
        <f t="shared" si="123"/>
        <v>0</v>
      </c>
      <c r="AE270" s="345">
        <f t="shared" si="123"/>
        <v>0</v>
      </c>
      <c r="AF270" s="345">
        <f t="shared" si="123"/>
        <v>0</v>
      </c>
      <c r="AG270" s="345">
        <f t="shared" si="123"/>
        <v>0</v>
      </c>
      <c r="AH270" s="345">
        <f t="shared" si="123"/>
        <v>0</v>
      </c>
      <c r="AI270" s="345">
        <f t="shared" si="123"/>
        <v>0</v>
      </c>
      <c r="AJ270" s="345">
        <f t="shared" si="123"/>
        <v>0</v>
      </c>
      <c r="AK270" s="345">
        <f t="shared" si="123"/>
        <v>0</v>
      </c>
      <c r="AL270" s="345">
        <f t="shared" si="123"/>
        <v>0</v>
      </c>
      <c r="AM270" s="345">
        <f t="shared" si="123"/>
        <v>0</v>
      </c>
      <c r="AN270" s="345">
        <f t="shared" si="123"/>
        <v>0</v>
      </c>
      <c r="AO270" s="345">
        <f t="shared" si="123"/>
        <v>0</v>
      </c>
    </row>
    <row r="271" spans="3:41" x14ac:dyDescent="0.35">
      <c r="C271" s="24"/>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row>
    <row r="272" spans="3:41" x14ac:dyDescent="0.35">
      <c r="C272" s="24"/>
      <c r="E272" s="27" t="s">
        <v>1065</v>
      </c>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row>
    <row r="273" spans="3:43" x14ac:dyDescent="0.35">
      <c r="C273" s="24"/>
      <c r="F273" s="19" t="s">
        <v>1056</v>
      </c>
      <c r="G273" s="19" t="s">
        <v>207</v>
      </c>
      <c r="H273" s="19"/>
      <c r="I273" s="19"/>
      <c r="J273" s="385">
        <f t="shared" ref="J273:AO273" si="124">IF(J$238, INDEX(J$53:J$55,J268), 0)</f>
        <v>0</v>
      </c>
      <c r="K273" s="385">
        <f t="shared" si="124"/>
        <v>0</v>
      </c>
      <c r="L273" s="385">
        <f t="shared" si="124"/>
        <v>0</v>
      </c>
      <c r="M273" s="385">
        <f t="shared" si="124"/>
        <v>0</v>
      </c>
      <c r="N273" s="385">
        <f t="shared" si="124"/>
        <v>0</v>
      </c>
      <c r="O273" s="385">
        <f t="shared" si="124"/>
        <v>0</v>
      </c>
      <c r="P273" s="385">
        <f t="shared" si="124"/>
        <v>0</v>
      </c>
      <c r="Q273" s="385">
        <f t="shared" si="124"/>
        <v>0</v>
      </c>
      <c r="R273" s="385">
        <f t="shared" si="124"/>
        <v>0</v>
      </c>
      <c r="S273" s="385">
        <f t="shared" si="124"/>
        <v>0</v>
      </c>
      <c r="T273" s="385">
        <f t="shared" si="124"/>
        <v>0</v>
      </c>
      <c r="U273" s="385">
        <f t="shared" si="124"/>
        <v>0</v>
      </c>
      <c r="V273" s="385">
        <f t="shared" si="124"/>
        <v>0</v>
      </c>
      <c r="W273" s="385">
        <f t="shared" si="124"/>
        <v>0</v>
      </c>
      <c r="X273" s="385">
        <f t="shared" si="124"/>
        <v>0</v>
      </c>
      <c r="Y273" s="385">
        <f t="shared" si="124"/>
        <v>0</v>
      </c>
      <c r="Z273" s="385">
        <f t="shared" si="124"/>
        <v>0</v>
      </c>
      <c r="AA273" s="385">
        <f t="shared" si="124"/>
        <v>0</v>
      </c>
      <c r="AB273" s="385">
        <f t="shared" si="124"/>
        <v>0</v>
      </c>
      <c r="AC273" s="385">
        <f t="shared" si="124"/>
        <v>0</v>
      </c>
      <c r="AD273" s="385">
        <f t="shared" si="124"/>
        <v>0</v>
      </c>
      <c r="AE273" s="385">
        <f t="shared" si="124"/>
        <v>0</v>
      </c>
      <c r="AF273" s="385">
        <f t="shared" si="124"/>
        <v>0</v>
      </c>
      <c r="AG273" s="385">
        <f t="shared" si="124"/>
        <v>0</v>
      </c>
      <c r="AH273" s="385">
        <f t="shared" si="124"/>
        <v>0</v>
      </c>
      <c r="AI273" s="385">
        <f t="shared" si="124"/>
        <v>0</v>
      </c>
      <c r="AJ273" s="385">
        <f t="shared" si="124"/>
        <v>0</v>
      </c>
      <c r="AK273" s="385">
        <f t="shared" si="124"/>
        <v>0</v>
      </c>
      <c r="AL273" s="385">
        <f t="shared" si="124"/>
        <v>0</v>
      </c>
      <c r="AM273" s="385">
        <f t="shared" si="124"/>
        <v>0</v>
      </c>
      <c r="AN273" s="385">
        <f t="shared" si="124"/>
        <v>0</v>
      </c>
      <c r="AO273" s="385">
        <f t="shared" si="124"/>
        <v>0</v>
      </c>
    </row>
    <row r="274" spans="3:43" x14ac:dyDescent="0.35">
      <c r="C274" s="24"/>
      <c r="F274" t="s">
        <v>1057</v>
      </c>
      <c r="G274" t="s">
        <v>207</v>
      </c>
      <c r="J274" s="153">
        <f t="shared" ref="J274:AO274" si="125">IF(J$238, INDEX(J$53:J$55,J269), 0)</f>
        <v>0</v>
      </c>
      <c r="K274" s="153">
        <f t="shared" si="125"/>
        <v>0</v>
      </c>
      <c r="L274" s="153">
        <f t="shared" si="125"/>
        <v>0</v>
      </c>
      <c r="M274" s="153">
        <f t="shared" si="125"/>
        <v>0</v>
      </c>
      <c r="N274" s="153">
        <f t="shared" si="125"/>
        <v>0</v>
      </c>
      <c r="O274" s="153">
        <f t="shared" si="125"/>
        <v>0</v>
      </c>
      <c r="P274" s="153">
        <f t="shared" si="125"/>
        <v>0</v>
      </c>
      <c r="Q274" s="153">
        <f t="shared" si="125"/>
        <v>0</v>
      </c>
      <c r="R274" s="153">
        <f t="shared" si="125"/>
        <v>0</v>
      </c>
      <c r="S274" s="153">
        <f t="shared" si="125"/>
        <v>0</v>
      </c>
      <c r="T274" s="153">
        <f t="shared" si="125"/>
        <v>0</v>
      </c>
      <c r="U274" s="153">
        <f t="shared" si="125"/>
        <v>0</v>
      </c>
      <c r="V274" s="153">
        <f t="shared" si="125"/>
        <v>0</v>
      </c>
      <c r="W274" s="153">
        <f t="shared" si="125"/>
        <v>0</v>
      </c>
      <c r="X274" s="153">
        <f t="shared" si="125"/>
        <v>0</v>
      </c>
      <c r="Y274" s="153">
        <f t="shared" si="125"/>
        <v>0</v>
      </c>
      <c r="Z274" s="153">
        <f t="shared" si="125"/>
        <v>0</v>
      </c>
      <c r="AA274" s="153">
        <f t="shared" si="125"/>
        <v>0</v>
      </c>
      <c r="AB274" s="153">
        <f t="shared" si="125"/>
        <v>0</v>
      </c>
      <c r="AC274" s="153">
        <f t="shared" si="125"/>
        <v>0</v>
      </c>
      <c r="AD274" s="153">
        <f t="shared" si="125"/>
        <v>0</v>
      </c>
      <c r="AE274" s="153">
        <f t="shared" si="125"/>
        <v>0</v>
      </c>
      <c r="AF274" s="153">
        <f t="shared" si="125"/>
        <v>0</v>
      </c>
      <c r="AG274" s="153">
        <f t="shared" si="125"/>
        <v>0</v>
      </c>
      <c r="AH274" s="153">
        <f t="shared" si="125"/>
        <v>0</v>
      </c>
      <c r="AI274" s="153">
        <f t="shared" si="125"/>
        <v>0</v>
      </c>
      <c r="AJ274" s="153">
        <f t="shared" si="125"/>
        <v>0</v>
      </c>
      <c r="AK274" s="153">
        <f t="shared" si="125"/>
        <v>0</v>
      </c>
      <c r="AL274" s="153">
        <f t="shared" si="125"/>
        <v>0</v>
      </c>
      <c r="AM274" s="153">
        <f t="shared" si="125"/>
        <v>0</v>
      </c>
      <c r="AN274" s="153">
        <f t="shared" si="125"/>
        <v>0</v>
      </c>
      <c r="AO274" s="153">
        <f t="shared" si="125"/>
        <v>0</v>
      </c>
    </row>
    <row r="275" spans="3:43" x14ac:dyDescent="0.35">
      <c r="C275" s="24"/>
      <c r="F275" s="28" t="s">
        <v>1058</v>
      </c>
      <c r="G275" s="28" t="s">
        <v>207</v>
      </c>
      <c r="H275" s="28"/>
      <c r="I275" s="28"/>
      <c r="J275" s="386">
        <f t="shared" ref="J275:AO275" si="126">IF(J$238, INDEX(J$53:J$55,J270), 0)</f>
        <v>0</v>
      </c>
      <c r="K275" s="386">
        <f t="shared" si="126"/>
        <v>0</v>
      </c>
      <c r="L275" s="386">
        <f t="shared" si="126"/>
        <v>0</v>
      </c>
      <c r="M275" s="386">
        <f t="shared" si="126"/>
        <v>0</v>
      </c>
      <c r="N275" s="386">
        <f t="shared" si="126"/>
        <v>0</v>
      </c>
      <c r="O275" s="386">
        <f t="shared" si="126"/>
        <v>0</v>
      </c>
      <c r="P275" s="386">
        <f t="shared" si="126"/>
        <v>0</v>
      </c>
      <c r="Q275" s="386">
        <f t="shared" si="126"/>
        <v>0</v>
      </c>
      <c r="R275" s="386">
        <f t="shared" si="126"/>
        <v>0</v>
      </c>
      <c r="S275" s="386">
        <f t="shared" si="126"/>
        <v>0</v>
      </c>
      <c r="T275" s="386">
        <f t="shared" si="126"/>
        <v>0</v>
      </c>
      <c r="U275" s="386">
        <f t="shared" si="126"/>
        <v>0</v>
      </c>
      <c r="V275" s="386">
        <f t="shared" si="126"/>
        <v>0</v>
      </c>
      <c r="W275" s="386">
        <f t="shared" si="126"/>
        <v>0</v>
      </c>
      <c r="X275" s="386">
        <f t="shared" si="126"/>
        <v>0</v>
      </c>
      <c r="Y275" s="386">
        <f t="shared" si="126"/>
        <v>0</v>
      </c>
      <c r="Z275" s="386">
        <f t="shared" si="126"/>
        <v>0</v>
      </c>
      <c r="AA275" s="386">
        <f t="shared" si="126"/>
        <v>0</v>
      </c>
      <c r="AB275" s="386">
        <f t="shared" si="126"/>
        <v>0</v>
      </c>
      <c r="AC275" s="386">
        <f t="shared" si="126"/>
        <v>0</v>
      </c>
      <c r="AD275" s="386">
        <f t="shared" si="126"/>
        <v>0</v>
      </c>
      <c r="AE275" s="386">
        <f t="shared" si="126"/>
        <v>0</v>
      </c>
      <c r="AF275" s="386">
        <f t="shared" si="126"/>
        <v>0</v>
      </c>
      <c r="AG275" s="386">
        <f t="shared" si="126"/>
        <v>0</v>
      </c>
      <c r="AH275" s="386">
        <f t="shared" si="126"/>
        <v>0</v>
      </c>
      <c r="AI275" s="386">
        <f t="shared" si="126"/>
        <v>0</v>
      </c>
      <c r="AJ275" s="386">
        <f t="shared" si="126"/>
        <v>0</v>
      </c>
      <c r="AK275" s="386">
        <f t="shared" si="126"/>
        <v>0</v>
      </c>
      <c r="AL275" s="386">
        <f t="shared" si="126"/>
        <v>0</v>
      </c>
      <c r="AM275" s="386">
        <f t="shared" si="126"/>
        <v>0</v>
      </c>
      <c r="AN275" s="386">
        <f t="shared" si="126"/>
        <v>0</v>
      </c>
      <c r="AO275" s="386">
        <f t="shared" si="126"/>
        <v>0</v>
      </c>
    </row>
    <row r="276" spans="3:43" x14ac:dyDescent="0.35">
      <c r="C276" s="24"/>
      <c r="J276" s="153"/>
      <c r="K276" s="153"/>
      <c r="L276" s="153"/>
      <c r="M276" s="153"/>
      <c r="N276" s="153"/>
      <c r="O276" s="153"/>
      <c r="P276" s="153"/>
      <c r="Q276" s="153"/>
      <c r="R276" s="153"/>
      <c r="S276" s="153"/>
      <c r="T276" s="153"/>
      <c r="U276" s="153"/>
      <c r="V276" s="153"/>
      <c r="W276" s="153"/>
      <c r="X276" s="153"/>
      <c r="Y276" s="153"/>
      <c r="Z276" s="153"/>
      <c r="AA276" s="153"/>
      <c r="AB276" s="153"/>
      <c r="AC276" s="153"/>
      <c r="AD276" s="153"/>
      <c r="AE276" s="153"/>
      <c r="AF276" s="153"/>
      <c r="AG276" s="153"/>
      <c r="AH276" s="153"/>
      <c r="AI276" s="153"/>
      <c r="AJ276" s="153"/>
      <c r="AK276" s="153"/>
      <c r="AL276" s="153"/>
      <c r="AM276" s="153"/>
      <c r="AN276" s="153"/>
      <c r="AO276" s="153"/>
    </row>
    <row r="277" spans="3:43" x14ac:dyDescent="0.35">
      <c r="C277" s="24"/>
      <c r="E277" s="27" t="s">
        <v>1066</v>
      </c>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row>
    <row r="278" spans="3:43" x14ac:dyDescent="0.35">
      <c r="C278" s="24"/>
      <c r="F278" s="19" t="s">
        <v>1056</v>
      </c>
      <c r="G278" s="19" t="s">
        <v>207</v>
      </c>
      <c r="H278" s="19"/>
      <c r="I278" s="19"/>
      <c r="J278" s="385">
        <f t="shared" ref="J278:AO280" si="127">SUMIF($J$150:$AO$150,J$150,$J273:$AO273)</f>
        <v>0</v>
      </c>
      <c r="K278" s="385">
        <f t="shared" si="127"/>
        <v>0</v>
      </c>
      <c r="L278" s="385">
        <f t="shared" si="127"/>
        <v>0</v>
      </c>
      <c r="M278" s="385">
        <f t="shared" si="127"/>
        <v>0</v>
      </c>
      <c r="N278" s="385">
        <f t="shared" si="127"/>
        <v>0</v>
      </c>
      <c r="O278" s="385">
        <f t="shared" si="127"/>
        <v>0</v>
      </c>
      <c r="P278" s="385">
        <f t="shared" si="127"/>
        <v>0</v>
      </c>
      <c r="Q278" s="385">
        <f t="shared" si="127"/>
        <v>0</v>
      </c>
      <c r="R278" s="385">
        <f t="shared" si="127"/>
        <v>0</v>
      </c>
      <c r="S278" s="385">
        <f t="shared" si="127"/>
        <v>0</v>
      </c>
      <c r="T278" s="385">
        <f t="shared" si="127"/>
        <v>0</v>
      </c>
      <c r="U278" s="385">
        <f t="shared" si="127"/>
        <v>0</v>
      </c>
      <c r="V278" s="385">
        <f t="shared" si="127"/>
        <v>0</v>
      </c>
      <c r="W278" s="385">
        <f t="shared" si="127"/>
        <v>0</v>
      </c>
      <c r="X278" s="385">
        <f t="shared" si="127"/>
        <v>0</v>
      </c>
      <c r="Y278" s="385">
        <f t="shared" si="127"/>
        <v>0</v>
      </c>
      <c r="Z278" s="385">
        <f t="shared" si="127"/>
        <v>0</v>
      </c>
      <c r="AA278" s="385">
        <f t="shared" si="127"/>
        <v>0</v>
      </c>
      <c r="AB278" s="385">
        <f t="shared" si="127"/>
        <v>0</v>
      </c>
      <c r="AC278" s="385">
        <f t="shared" si="127"/>
        <v>0</v>
      </c>
      <c r="AD278" s="385">
        <f t="shared" si="127"/>
        <v>0</v>
      </c>
      <c r="AE278" s="385">
        <f t="shared" si="127"/>
        <v>0</v>
      </c>
      <c r="AF278" s="385">
        <f t="shared" si="127"/>
        <v>0</v>
      </c>
      <c r="AG278" s="385">
        <f t="shared" si="127"/>
        <v>0</v>
      </c>
      <c r="AH278" s="385">
        <f t="shared" si="127"/>
        <v>0</v>
      </c>
      <c r="AI278" s="385">
        <f t="shared" si="127"/>
        <v>0</v>
      </c>
      <c r="AJ278" s="385">
        <f t="shared" si="127"/>
        <v>0</v>
      </c>
      <c r="AK278" s="385">
        <f t="shared" si="127"/>
        <v>0</v>
      </c>
      <c r="AL278" s="385">
        <f t="shared" si="127"/>
        <v>0</v>
      </c>
      <c r="AM278" s="385">
        <f t="shared" si="127"/>
        <v>0</v>
      </c>
      <c r="AN278" s="385">
        <f t="shared" si="127"/>
        <v>0</v>
      </c>
      <c r="AO278" s="385">
        <f t="shared" si="127"/>
        <v>0</v>
      </c>
    </row>
    <row r="279" spans="3:43" x14ac:dyDescent="0.35">
      <c r="C279" s="24"/>
      <c r="F279" t="s">
        <v>1057</v>
      </c>
      <c r="G279" t="s">
        <v>207</v>
      </c>
      <c r="J279" s="153">
        <f t="shared" si="127"/>
        <v>0</v>
      </c>
      <c r="K279" s="153">
        <f t="shared" si="127"/>
        <v>0</v>
      </c>
      <c r="L279" s="153">
        <f t="shared" si="127"/>
        <v>0</v>
      </c>
      <c r="M279" s="153">
        <f t="shared" si="127"/>
        <v>0</v>
      </c>
      <c r="N279" s="153">
        <f t="shared" si="127"/>
        <v>0</v>
      </c>
      <c r="O279" s="153">
        <f t="shared" si="127"/>
        <v>0</v>
      </c>
      <c r="P279" s="153">
        <f t="shared" si="127"/>
        <v>0</v>
      </c>
      <c r="Q279" s="153">
        <f t="shared" si="127"/>
        <v>0</v>
      </c>
      <c r="R279" s="153">
        <f t="shared" si="127"/>
        <v>0</v>
      </c>
      <c r="S279" s="153">
        <f t="shared" si="127"/>
        <v>0</v>
      </c>
      <c r="T279" s="153">
        <f t="shared" si="127"/>
        <v>0</v>
      </c>
      <c r="U279" s="153">
        <f t="shared" si="127"/>
        <v>0</v>
      </c>
      <c r="V279" s="153">
        <f t="shared" si="127"/>
        <v>0</v>
      </c>
      <c r="W279" s="153">
        <f t="shared" si="127"/>
        <v>0</v>
      </c>
      <c r="X279" s="153">
        <f t="shared" si="127"/>
        <v>0</v>
      </c>
      <c r="Y279" s="153">
        <f t="shared" si="127"/>
        <v>0</v>
      </c>
      <c r="Z279" s="153">
        <f t="shared" si="127"/>
        <v>0</v>
      </c>
      <c r="AA279" s="153">
        <f t="shared" si="127"/>
        <v>0</v>
      </c>
      <c r="AB279" s="153">
        <f t="shared" si="127"/>
        <v>0</v>
      </c>
      <c r="AC279" s="153">
        <f t="shared" si="127"/>
        <v>0</v>
      </c>
      <c r="AD279" s="153">
        <f t="shared" si="127"/>
        <v>0</v>
      </c>
      <c r="AE279" s="153">
        <f t="shared" si="127"/>
        <v>0</v>
      </c>
      <c r="AF279" s="153">
        <f t="shared" si="127"/>
        <v>0</v>
      </c>
      <c r="AG279" s="153">
        <f t="shared" si="127"/>
        <v>0</v>
      </c>
      <c r="AH279" s="153">
        <f t="shared" si="127"/>
        <v>0</v>
      </c>
      <c r="AI279" s="153">
        <f t="shared" si="127"/>
        <v>0</v>
      </c>
      <c r="AJ279" s="153">
        <f t="shared" si="127"/>
        <v>0</v>
      </c>
      <c r="AK279" s="153">
        <f t="shared" si="127"/>
        <v>0</v>
      </c>
      <c r="AL279" s="153">
        <f t="shared" si="127"/>
        <v>0</v>
      </c>
      <c r="AM279" s="153">
        <f t="shared" si="127"/>
        <v>0</v>
      </c>
      <c r="AN279" s="153">
        <f t="shared" si="127"/>
        <v>0</v>
      </c>
      <c r="AO279" s="153">
        <f t="shared" si="127"/>
        <v>0</v>
      </c>
    </row>
    <row r="280" spans="3:43" x14ac:dyDescent="0.35">
      <c r="C280" s="24"/>
      <c r="F280" s="28" t="s">
        <v>1058</v>
      </c>
      <c r="G280" s="28" t="s">
        <v>207</v>
      </c>
      <c r="H280" s="28"/>
      <c r="I280" s="28"/>
      <c r="J280" s="386">
        <f t="shared" si="127"/>
        <v>0</v>
      </c>
      <c r="K280" s="386">
        <f t="shared" si="127"/>
        <v>0</v>
      </c>
      <c r="L280" s="386">
        <f t="shared" si="127"/>
        <v>0</v>
      </c>
      <c r="M280" s="386">
        <f t="shared" si="127"/>
        <v>0</v>
      </c>
      <c r="N280" s="386">
        <f t="shared" si="127"/>
        <v>0</v>
      </c>
      <c r="O280" s="386">
        <f t="shared" si="127"/>
        <v>0</v>
      </c>
      <c r="P280" s="386">
        <f t="shared" si="127"/>
        <v>0</v>
      </c>
      <c r="Q280" s="386">
        <f t="shared" si="127"/>
        <v>0</v>
      </c>
      <c r="R280" s="386">
        <f t="shared" si="127"/>
        <v>0</v>
      </c>
      <c r="S280" s="386">
        <f t="shared" si="127"/>
        <v>0</v>
      </c>
      <c r="T280" s="386">
        <f t="shared" si="127"/>
        <v>0</v>
      </c>
      <c r="U280" s="386">
        <f t="shared" si="127"/>
        <v>0</v>
      </c>
      <c r="V280" s="386">
        <f t="shared" si="127"/>
        <v>0</v>
      </c>
      <c r="W280" s="386">
        <f t="shared" si="127"/>
        <v>0</v>
      </c>
      <c r="X280" s="386">
        <f t="shared" si="127"/>
        <v>0</v>
      </c>
      <c r="Y280" s="386">
        <f t="shared" si="127"/>
        <v>0</v>
      </c>
      <c r="Z280" s="386">
        <f t="shared" si="127"/>
        <v>0</v>
      </c>
      <c r="AA280" s="386">
        <f t="shared" si="127"/>
        <v>0</v>
      </c>
      <c r="AB280" s="386">
        <f t="shared" si="127"/>
        <v>0</v>
      </c>
      <c r="AC280" s="386">
        <f t="shared" si="127"/>
        <v>0</v>
      </c>
      <c r="AD280" s="386">
        <f t="shared" si="127"/>
        <v>0</v>
      </c>
      <c r="AE280" s="386">
        <f t="shared" si="127"/>
        <v>0</v>
      </c>
      <c r="AF280" s="386">
        <f t="shared" si="127"/>
        <v>0</v>
      </c>
      <c r="AG280" s="386">
        <f t="shared" si="127"/>
        <v>0</v>
      </c>
      <c r="AH280" s="386">
        <f t="shared" si="127"/>
        <v>0</v>
      </c>
      <c r="AI280" s="386">
        <f t="shared" si="127"/>
        <v>0</v>
      </c>
      <c r="AJ280" s="386">
        <f t="shared" si="127"/>
        <v>0</v>
      </c>
      <c r="AK280" s="386">
        <f t="shared" si="127"/>
        <v>0</v>
      </c>
      <c r="AL280" s="386">
        <f t="shared" si="127"/>
        <v>0</v>
      </c>
      <c r="AM280" s="386">
        <f t="shared" si="127"/>
        <v>0</v>
      </c>
      <c r="AN280" s="386">
        <f t="shared" si="127"/>
        <v>0</v>
      </c>
      <c r="AO280" s="386">
        <f t="shared" si="127"/>
        <v>0</v>
      </c>
    </row>
    <row r="281" spans="3:43" x14ac:dyDescent="0.35">
      <c r="C281" s="24"/>
      <c r="J281" s="153"/>
      <c r="K281" s="153"/>
      <c r="L281" s="153"/>
      <c r="M281" s="153"/>
      <c r="N281" s="153"/>
      <c r="O281" s="153"/>
      <c r="P281" s="153"/>
      <c r="Q281" s="153"/>
      <c r="R281" s="153"/>
      <c r="S281" s="153"/>
      <c r="T281" s="153"/>
      <c r="U281" s="153"/>
      <c r="V281" s="153"/>
      <c r="W281" s="153"/>
      <c r="X281" s="153"/>
      <c r="Y281" s="153"/>
      <c r="Z281" s="153"/>
      <c r="AA281" s="153"/>
      <c r="AB281" s="153"/>
      <c r="AC281" s="153"/>
      <c r="AD281" s="153"/>
      <c r="AE281" s="153"/>
      <c r="AF281" s="153"/>
      <c r="AG281" s="153"/>
      <c r="AH281" s="153"/>
      <c r="AI281" s="153"/>
      <c r="AJ281" s="153"/>
      <c r="AK281" s="153"/>
      <c r="AL281" s="153"/>
      <c r="AM281" s="153"/>
      <c r="AN281" s="153"/>
      <c r="AO281" s="153"/>
    </row>
    <row r="282" spans="3:43" x14ac:dyDescent="0.35">
      <c r="C282" s="24"/>
      <c r="E282" s="27" t="s">
        <v>1067</v>
      </c>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row>
    <row r="283" spans="3:43" x14ac:dyDescent="0.35">
      <c r="C283" s="24"/>
      <c r="F283" s="19" t="s">
        <v>1056</v>
      </c>
      <c r="G283" s="19" t="s">
        <v>207</v>
      </c>
      <c r="H283" s="19"/>
      <c r="I283" s="19"/>
      <c r="J283" s="385">
        <f>J278 * J$158</f>
        <v>0</v>
      </c>
      <c r="K283" s="385">
        <f t="shared" ref="K283:AO283" si="128">K278 * K$158</f>
        <v>0</v>
      </c>
      <c r="L283" s="385">
        <f t="shared" si="128"/>
        <v>0</v>
      </c>
      <c r="M283" s="385">
        <f t="shared" si="128"/>
        <v>0</v>
      </c>
      <c r="N283" s="385">
        <f t="shared" si="128"/>
        <v>0</v>
      </c>
      <c r="O283" s="385">
        <f t="shared" si="128"/>
        <v>0</v>
      </c>
      <c r="P283" s="385">
        <f t="shared" si="128"/>
        <v>0</v>
      </c>
      <c r="Q283" s="385">
        <f t="shared" si="128"/>
        <v>0</v>
      </c>
      <c r="R283" s="385">
        <f t="shared" si="128"/>
        <v>0</v>
      </c>
      <c r="S283" s="385">
        <f t="shared" si="128"/>
        <v>0</v>
      </c>
      <c r="T283" s="385">
        <f t="shared" si="128"/>
        <v>0</v>
      </c>
      <c r="U283" s="385">
        <f t="shared" si="128"/>
        <v>0</v>
      </c>
      <c r="V283" s="385">
        <f t="shared" si="128"/>
        <v>0</v>
      </c>
      <c r="W283" s="385">
        <f t="shared" si="128"/>
        <v>0</v>
      </c>
      <c r="X283" s="385">
        <f t="shared" si="128"/>
        <v>0</v>
      </c>
      <c r="Y283" s="385">
        <f t="shared" si="128"/>
        <v>0</v>
      </c>
      <c r="Z283" s="385">
        <f t="shared" si="128"/>
        <v>0</v>
      </c>
      <c r="AA283" s="385">
        <f t="shared" si="128"/>
        <v>0</v>
      </c>
      <c r="AB283" s="385">
        <f t="shared" si="128"/>
        <v>0</v>
      </c>
      <c r="AC283" s="385">
        <f t="shared" si="128"/>
        <v>0</v>
      </c>
      <c r="AD283" s="385">
        <f t="shared" si="128"/>
        <v>0</v>
      </c>
      <c r="AE283" s="385">
        <f t="shared" si="128"/>
        <v>0</v>
      </c>
      <c r="AF283" s="385">
        <f t="shared" si="128"/>
        <v>0</v>
      </c>
      <c r="AG283" s="385">
        <f t="shared" si="128"/>
        <v>0</v>
      </c>
      <c r="AH283" s="385">
        <f t="shared" si="128"/>
        <v>0</v>
      </c>
      <c r="AI283" s="385">
        <f t="shared" si="128"/>
        <v>0</v>
      </c>
      <c r="AJ283" s="385">
        <f t="shared" si="128"/>
        <v>0</v>
      </c>
      <c r="AK283" s="385">
        <f t="shared" si="128"/>
        <v>0</v>
      </c>
      <c r="AL283" s="385">
        <f t="shared" si="128"/>
        <v>0</v>
      </c>
      <c r="AM283" s="385">
        <f t="shared" si="128"/>
        <v>0</v>
      </c>
      <c r="AN283" s="385">
        <f t="shared" si="128"/>
        <v>0</v>
      </c>
      <c r="AO283" s="385">
        <f t="shared" si="128"/>
        <v>0</v>
      </c>
    </row>
    <row r="284" spans="3:43" x14ac:dyDescent="0.35">
      <c r="C284" s="24"/>
      <c r="F284" t="s">
        <v>1057</v>
      </c>
      <c r="G284" t="s">
        <v>207</v>
      </c>
      <c r="J284" s="153">
        <f t="shared" ref="J284:AO285" si="129">J279 * J$158</f>
        <v>0</v>
      </c>
      <c r="K284" s="153">
        <f t="shared" si="129"/>
        <v>0</v>
      </c>
      <c r="L284" s="153">
        <f t="shared" si="129"/>
        <v>0</v>
      </c>
      <c r="M284" s="153">
        <f t="shared" si="129"/>
        <v>0</v>
      </c>
      <c r="N284" s="153">
        <f t="shared" si="129"/>
        <v>0</v>
      </c>
      <c r="O284" s="153">
        <f t="shared" si="129"/>
        <v>0</v>
      </c>
      <c r="P284" s="153">
        <f t="shared" si="129"/>
        <v>0</v>
      </c>
      <c r="Q284" s="153">
        <f t="shared" si="129"/>
        <v>0</v>
      </c>
      <c r="R284" s="153">
        <f t="shared" si="129"/>
        <v>0</v>
      </c>
      <c r="S284" s="153">
        <f t="shared" si="129"/>
        <v>0</v>
      </c>
      <c r="T284" s="153">
        <f t="shared" si="129"/>
        <v>0</v>
      </c>
      <c r="U284" s="153">
        <f t="shared" si="129"/>
        <v>0</v>
      </c>
      <c r="V284" s="153">
        <f t="shared" si="129"/>
        <v>0</v>
      </c>
      <c r="W284" s="153">
        <f t="shared" si="129"/>
        <v>0</v>
      </c>
      <c r="X284" s="153">
        <f t="shared" si="129"/>
        <v>0</v>
      </c>
      <c r="Y284" s="153">
        <f t="shared" si="129"/>
        <v>0</v>
      </c>
      <c r="Z284" s="153">
        <f t="shared" si="129"/>
        <v>0</v>
      </c>
      <c r="AA284" s="153">
        <f t="shared" si="129"/>
        <v>0</v>
      </c>
      <c r="AB284" s="153">
        <f t="shared" si="129"/>
        <v>0</v>
      </c>
      <c r="AC284" s="153">
        <f t="shared" si="129"/>
        <v>0</v>
      </c>
      <c r="AD284" s="153">
        <f t="shared" si="129"/>
        <v>0</v>
      </c>
      <c r="AE284" s="153">
        <f t="shared" si="129"/>
        <v>0</v>
      </c>
      <c r="AF284" s="153">
        <f t="shared" si="129"/>
        <v>0</v>
      </c>
      <c r="AG284" s="153">
        <f t="shared" si="129"/>
        <v>0</v>
      </c>
      <c r="AH284" s="153">
        <f t="shared" si="129"/>
        <v>0</v>
      </c>
      <c r="AI284" s="153">
        <f t="shared" si="129"/>
        <v>0</v>
      </c>
      <c r="AJ284" s="153">
        <f t="shared" si="129"/>
        <v>0</v>
      </c>
      <c r="AK284" s="153">
        <f t="shared" si="129"/>
        <v>0</v>
      </c>
      <c r="AL284" s="153">
        <f t="shared" si="129"/>
        <v>0</v>
      </c>
      <c r="AM284" s="153">
        <f t="shared" si="129"/>
        <v>0</v>
      </c>
      <c r="AN284" s="153">
        <f t="shared" si="129"/>
        <v>0</v>
      </c>
      <c r="AO284" s="153">
        <f t="shared" si="129"/>
        <v>0</v>
      </c>
    </row>
    <row r="285" spans="3:43" x14ac:dyDescent="0.35">
      <c r="C285" s="24"/>
      <c r="F285" s="28" t="s">
        <v>1058</v>
      </c>
      <c r="G285" s="28" t="s">
        <v>207</v>
      </c>
      <c r="H285" s="28"/>
      <c r="I285" s="28"/>
      <c r="J285" s="386">
        <f t="shared" si="129"/>
        <v>0</v>
      </c>
      <c r="K285" s="386">
        <f t="shared" si="129"/>
        <v>0</v>
      </c>
      <c r="L285" s="386">
        <f t="shared" si="129"/>
        <v>0</v>
      </c>
      <c r="M285" s="386">
        <f t="shared" si="129"/>
        <v>0</v>
      </c>
      <c r="N285" s="386">
        <f t="shared" si="129"/>
        <v>0</v>
      </c>
      <c r="O285" s="386">
        <f t="shared" si="129"/>
        <v>0</v>
      </c>
      <c r="P285" s="386">
        <f t="shared" si="129"/>
        <v>0</v>
      </c>
      <c r="Q285" s="386">
        <f t="shared" si="129"/>
        <v>0</v>
      </c>
      <c r="R285" s="386">
        <f t="shared" si="129"/>
        <v>0</v>
      </c>
      <c r="S285" s="386">
        <f t="shared" si="129"/>
        <v>0</v>
      </c>
      <c r="T285" s="386">
        <f t="shared" si="129"/>
        <v>0</v>
      </c>
      <c r="U285" s="386">
        <f t="shared" si="129"/>
        <v>0</v>
      </c>
      <c r="V285" s="386">
        <f t="shared" si="129"/>
        <v>0</v>
      </c>
      <c r="W285" s="386">
        <f t="shared" si="129"/>
        <v>0</v>
      </c>
      <c r="X285" s="386">
        <f t="shared" si="129"/>
        <v>0</v>
      </c>
      <c r="Y285" s="386">
        <f t="shared" si="129"/>
        <v>0</v>
      </c>
      <c r="Z285" s="386">
        <f t="shared" si="129"/>
        <v>0</v>
      </c>
      <c r="AA285" s="386">
        <f t="shared" si="129"/>
        <v>0</v>
      </c>
      <c r="AB285" s="386">
        <f t="shared" si="129"/>
        <v>0</v>
      </c>
      <c r="AC285" s="386">
        <f t="shared" si="129"/>
        <v>0</v>
      </c>
      <c r="AD285" s="386">
        <f t="shared" si="129"/>
        <v>0</v>
      </c>
      <c r="AE285" s="386">
        <f t="shared" si="129"/>
        <v>0</v>
      </c>
      <c r="AF285" s="386">
        <f t="shared" si="129"/>
        <v>0</v>
      </c>
      <c r="AG285" s="386">
        <f t="shared" si="129"/>
        <v>0</v>
      </c>
      <c r="AH285" s="386">
        <f t="shared" si="129"/>
        <v>0</v>
      </c>
      <c r="AI285" s="386">
        <f t="shared" si="129"/>
        <v>0</v>
      </c>
      <c r="AJ285" s="386">
        <f t="shared" si="129"/>
        <v>0</v>
      </c>
      <c r="AK285" s="386">
        <f t="shared" si="129"/>
        <v>0</v>
      </c>
      <c r="AL285" s="386">
        <f t="shared" si="129"/>
        <v>0</v>
      </c>
      <c r="AM285" s="386">
        <f t="shared" si="129"/>
        <v>0</v>
      </c>
      <c r="AN285" s="386">
        <f t="shared" si="129"/>
        <v>0</v>
      </c>
      <c r="AO285" s="386">
        <f t="shared" si="129"/>
        <v>0</v>
      </c>
    </row>
    <row r="286" spans="3:43" x14ac:dyDescent="0.35">
      <c r="C286" s="24"/>
      <c r="E286" s="27"/>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row>
    <row r="287" spans="3:43" x14ac:dyDescent="0.35">
      <c r="C287" s="26" t="str">
        <f ca="1">INDEX('Version control'!$H$38:$H$61,MATCH($A$1,'Version control'!$F$38:$F$61,0),1)&amp;"-K: Revenue matching for three timebands"</f>
        <v>Section 116-K: Revenue matching for three timebands</v>
      </c>
      <c r="D287" s="26"/>
      <c r="E287" s="26"/>
      <c r="F287" s="26"/>
      <c r="G287" s="26"/>
      <c r="H287" s="26"/>
      <c r="I287" s="26"/>
      <c r="J287" s="179"/>
      <c r="K287" s="179"/>
      <c r="L287" s="179"/>
      <c r="M287" s="179"/>
      <c r="N287" s="179"/>
      <c r="O287" s="179"/>
      <c r="P287" s="179"/>
      <c r="Q287" s="179"/>
      <c r="R287" s="179"/>
      <c r="S287" s="179"/>
      <c r="T287" s="179"/>
      <c r="U287" s="179"/>
      <c r="V287" s="179"/>
      <c r="W287" s="179"/>
      <c r="X287" s="179"/>
      <c r="Y287" s="179"/>
      <c r="Z287" s="179"/>
      <c r="AA287" s="179"/>
      <c r="AB287" s="179"/>
      <c r="AC287" s="179"/>
      <c r="AD287" s="179"/>
      <c r="AE287" s="179"/>
      <c r="AF287" s="179"/>
      <c r="AG287" s="179"/>
      <c r="AH287" s="179"/>
      <c r="AI287" s="179"/>
      <c r="AJ287" s="179"/>
      <c r="AK287" s="179"/>
      <c r="AL287" s="179"/>
      <c r="AM287" s="179"/>
      <c r="AN287" s="179"/>
      <c r="AO287" s="179"/>
      <c r="AP287" s="26"/>
      <c r="AQ287" s="26"/>
    </row>
    <row r="288" spans="3:43" x14ac:dyDescent="0.35">
      <c r="C288" s="24"/>
      <c r="E288" s="27"/>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row>
    <row r="289" spans="3:44" x14ac:dyDescent="0.35">
      <c r="C289" s="24"/>
      <c r="D289" s="24" t="s">
        <v>1068</v>
      </c>
      <c r="E289" s="27"/>
      <c r="I289" t="s">
        <v>154</v>
      </c>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Q289" t="s">
        <v>1123</v>
      </c>
    </row>
    <row r="290" spans="3:44" x14ac:dyDescent="0.35">
      <c r="C290" s="24"/>
      <c r="D290" s="24" t="s">
        <v>1069</v>
      </c>
      <c r="E290" s="27"/>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row>
    <row r="291" spans="3:44" x14ac:dyDescent="0.35">
      <c r="C291" s="24"/>
      <c r="D291" s="24" t="s">
        <v>1070</v>
      </c>
      <c r="E291" s="27"/>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row>
    <row r="292" spans="3:44" x14ac:dyDescent="0.35">
      <c r="C292" s="24"/>
      <c r="E292" s="27"/>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row>
    <row r="293" spans="3:44" x14ac:dyDescent="0.35">
      <c r="C293" s="24"/>
      <c r="E293" s="27" t="s">
        <v>1071</v>
      </c>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row>
    <row r="294" spans="3:44" x14ac:dyDescent="0.35">
      <c r="C294" s="24"/>
      <c r="F294" t="s">
        <v>1072</v>
      </c>
      <c r="G294" t="s">
        <v>931</v>
      </c>
      <c r="J294" s="153">
        <f t="shared" ref="J294:AO294" si="130">SUMIF($J150:$AO150,J150,$J229:$AO229)</f>
        <v>0</v>
      </c>
      <c r="K294" s="153">
        <f t="shared" si="130"/>
        <v>0</v>
      </c>
      <c r="L294" s="153">
        <f t="shared" si="130"/>
        <v>0</v>
      </c>
      <c r="M294" s="153">
        <f t="shared" si="130"/>
        <v>0</v>
      </c>
      <c r="N294" s="153">
        <f t="shared" si="130"/>
        <v>0</v>
      </c>
      <c r="O294" s="153">
        <f t="shared" si="130"/>
        <v>0</v>
      </c>
      <c r="P294" s="153">
        <f t="shared" si="130"/>
        <v>0</v>
      </c>
      <c r="Q294" s="153">
        <f t="shared" si="130"/>
        <v>0</v>
      </c>
      <c r="R294" s="153">
        <f t="shared" si="130"/>
        <v>0</v>
      </c>
      <c r="S294" s="153">
        <f t="shared" si="130"/>
        <v>0</v>
      </c>
      <c r="T294" s="153">
        <f t="shared" si="130"/>
        <v>0</v>
      </c>
      <c r="U294" s="153">
        <f t="shared" si="130"/>
        <v>0</v>
      </c>
      <c r="V294" s="153">
        <f t="shared" si="130"/>
        <v>0</v>
      </c>
      <c r="W294" s="153">
        <f t="shared" si="130"/>
        <v>0</v>
      </c>
      <c r="X294" s="153">
        <f t="shared" si="130"/>
        <v>0</v>
      </c>
      <c r="Y294" s="153">
        <f t="shared" si="130"/>
        <v>0</v>
      </c>
      <c r="Z294" s="153">
        <f t="shared" si="130"/>
        <v>0</v>
      </c>
      <c r="AA294" s="153">
        <f t="shared" si="130"/>
        <v>0</v>
      </c>
      <c r="AB294" s="153">
        <f t="shared" si="130"/>
        <v>0</v>
      </c>
      <c r="AC294" s="153">
        <f t="shared" si="130"/>
        <v>0</v>
      </c>
      <c r="AD294" s="153">
        <f t="shared" si="130"/>
        <v>0</v>
      </c>
      <c r="AE294" s="153">
        <f t="shared" si="130"/>
        <v>0</v>
      </c>
      <c r="AF294" s="153">
        <f t="shared" si="130"/>
        <v>0</v>
      </c>
      <c r="AG294" s="153">
        <f t="shared" si="130"/>
        <v>0</v>
      </c>
      <c r="AH294" s="153">
        <f t="shared" si="130"/>
        <v>0</v>
      </c>
      <c r="AI294" s="153">
        <f t="shared" si="130"/>
        <v>0</v>
      </c>
      <c r="AJ294" s="153">
        <f t="shared" si="130"/>
        <v>0</v>
      </c>
      <c r="AK294" s="153">
        <f t="shared" si="130"/>
        <v>0</v>
      </c>
      <c r="AL294" s="153">
        <f t="shared" si="130"/>
        <v>0</v>
      </c>
      <c r="AM294" s="153">
        <f t="shared" si="130"/>
        <v>0</v>
      </c>
      <c r="AN294" s="153">
        <f t="shared" si="130"/>
        <v>0</v>
      </c>
      <c r="AO294" s="153">
        <f t="shared" si="130"/>
        <v>0</v>
      </c>
    </row>
    <row r="295" spans="3:44" x14ac:dyDescent="0.35">
      <c r="C295" s="24"/>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row>
    <row r="296" spans="3:44" x14ac:dyDescent="0.35">
      <c r="C296" s="24"/>
      <c r="F296" t="s">
        <v>1073</v>
      </c>
      <c r="G296" t="s">
        <v>931</v>
      </c>
      <c r="J296" s="153">
        <f t="shared" ref="J296:AO296" si="131" xml:space="preserve"> J294 * J158</f>
        <v>0</v>
      </c>
      <c r="K296" s="153">
        <f t="shared" si="131"/>
        <v>0</v>
      </c>
      <c r="L296" s="153">
        <f t="shared" si="131"/>
        <v>0</v>
      </c>
      <c r="M296" s="153">
        <f t="shared" si="131"/>
        <v>0</v>
      </c>
      <c r="N296" s="153">
        <f t="shared" si="131"/>
        <v>0</v>
      </c>
      <c r="O296" s="153">
        <f t="shared" si="131"/>
        <v>0</v>
      </c>
      <c r="P296" s="153">
        <f t="shared" si="131"/>
        <v>0</v>
      </c>
      <c r="Q296" s="153">
        <f t="shared" si="131"/>
        <v>0</v>
      </c>
      <c r="R296" s="153">
        <f t="shared" si="131"/>
        <v>0</v>
      </c>
      <c r="S296" s="153">
        <f t="shared" si="131"/>
        <v>0</v>
      </c>
      <c r="T296" s="153">
        <f t="shared" si="131"/>
        <v>0</v>
      </c>
      <c r="U296" s="153">
        <f t="shared" si="131"/>
        <v>0</v>
      </c>
      <c r="V296" s="153">
        <f t="shared" si="131"/>
        <v>0</v>
      </c>
      <c r="W296" s="153">
        <f t="shared" si="131"/>
        <v>0</v>
      </c>
      <c r="X296" s="153">
        <f t="shared" si="131"/>
        <v>0</v>
      </c>
      <c r="Y296" s="153">
        <f t="shared" si="131"/>
        <v>0</v>
      </c>
      <c r="Z296" s="153">
        <f t="shared" si="131"/>
        <v>0</v>
      </c>
      <c r="AA296" s="153">
        <f t="shared" si="131"/>
        <v>0</v>
      </c>
      <c r="AB296" s="153">
        <f t="shared" si="131"/>
        <v>0</v>
      </c>
      <c r="AC296" s="153">
        <f t="shared" si="131"/>
        <v>0</v>
      </c>
      <c r="AD296" s="153">
        <f t="shared" si="131"/>
        <v>0</v>
      </c>
      <c r="AE296" s="153">
        <f t="shared" si="131"/>
        <v>0</v>
      </c>
      <c r="AF296" s="153">
        <f t="shared" si="131"/>
        <v>0</v>
      </c>
      <c r="AG296" s="153">
        <f t="shared" si="131"/>
        <v>0</v>
      </c>
      <c r="AH296" s="153">
        <f t="shared" si="131"/>
        <v>0</v>
      </c>
      <c r="AI296" s="153">
        <f t="shared" si="131"/>
        <v>0</v>
      </c>
      <c r="AJ296" s="153">
        <f t="shared" si="131"/>
        <v>0</v>
      </c>
      <c r="AK296" s="153">
        <f t="shared" si="131"/>
        <v>0</v>
      </c>
      <c r="AL296" s="153">
        <f t="shared" si="131"/>
        <v>0</v>
      </c>
      <c r="AM296" s="153">
        <f t="shared" si="131"/>
        <v>0</v>
      </c>
      <c r="AN296" s="153">
        <f t="shared" si="131"/>
        <v>0</v>
      </c>
      <c r="AO296" s="153">
        <f t="shared" si="131"/>
        <v>0</v>
      </c>
    </row>
    <row r="297" spans="3:44" x14ac:dyDescent="0.35">
      <c r="C297" s="24"/>
      <c r="F297" s="2"/>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row>
    <row r="298" spans="3:44" x14ac:dyDescent="0.35">
      <c r="C298" s="24"/>
      <c r="E298" s="27" t="s">
        <v>1021</v>
      </c>
      <c r="F298" s="2"/>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row>
    <row r="299" spans="3:44" x14ac:dyDescent="0.35">
      <c r="C299" s="24"/>
      <c r="F299" s="382" t="s">
        <v>1074</v>
      </c>
      <c r="G299" t="s">
        <v>207</v>
      </c>
      <c r="J299" s="153">
        <f t="shared" ref="J299:AO299" si="132">SUM(J283:J285)</f>
        <v>0</v>
      </c>
      <c r="K299" s="153">
        <f t="shared" si="132"/>
        <v>0</v>
      </c>
      <c r="L299" s="153">
        <f t="shared" si="132"/>
        <v>0</v>
      </c>
      <c r="M299" s="153">
        <f t="shared" si="132"/>
        <v>0</v>
      </c>
      <c r="N299" s="153">
        <f t="shared" si="132"/>
        <v>0</v>
      </c>
      <c r="O299" s="153">
        <f t="shared" si="132"/>
        <v>0</v>
      </c>
      <c r="P299" s="153">
        <f t="shared" si="132"/>
        <v>0</v>
      </c>
      <c r="Q299" s="153">
        <f t="shared" si="132"/>
        <v>0</v>
      </c>
      <c r="R299" s="153">
        <f t="shared" si="132"/>
        <v>0</v>
      </c>
      <c r="S299" s="153">
        <f t="shared" si="132"/>
        <v>0</v>
      </c>
      <c r="T299" s="153">
        <f t="shared" si="132"/>
        <v>0</v>
      </c>
      <c r="U299" s="153">
        <f t="shared" si="132"/>
        <v>0</v>
      </c>
      <c r="V299" s="153">
        <f t="shared" si="132"/>
        <v>0</v>
      </c>
      <c r="W299" s="153">
        <f t="shared" si="132"/>
        <v>0</v>
      </c>
      <c r="X299" s="153">
        <f t="shared" si="132"/>
        <v>0</v>
      </c>
      <c r="Y299" s="153">
        <f t="shared" si="132"/>
        <v>0</v>
      </c>
      <c r="Z299" s="153">
        <f t="shared" si="132"/>
        <v>0</v>
      </c>
      <c r="AA299" s="153">
        <f t="shared" si="132"/>
        <v>0</v>
      </c>
      <c r="AB299" s="153">
        <f t="shared" si="132"/>
        <v>0</v>
      </c>
      <c r="AC299" s="153">
        <f t="shared" si="132"/>
        <v>0</v>
      </c>
      <c r="AD299" s="153">
        <f t="shared" si="132"/>
        <v>0</v>
      </c>
      <c r="AE299" s="153">
        <f t="shared" si="132"/>
        <v>0</v>
      </c>
      <c r="AF299" s="153">
        <f t="shared" si="132"/>
        <v>0</v>
      </c>
      <c r="AG299" s="153">
        <f t="shared" si="132"/>
        <v>0</v>
      </c>
      <c r="AH299" s="153">
        <f t="shared" si="132"/>
        <v>0</v>
      </c>
      <c r="AI299" s="153">
        <f t="shared" si="132"/>
        <v>0</v>
      </c>
      <c r="AJ299" s="153">
        <f t="shared" si="132"/>
        <v>0</v>
      </c>
      <c r="AK299" s="153">
        <f t="shared" si="132"/>
        <v>0</v>
      </c>
      <c r="AL299" s="153">
        <f t="shared" si="132"/>
        <v>0</v>
      </c>
      <c r="AM299" s="153">
        <f t="shared" si="132"/>
        <v>0</v>
      </c>
      <c r="AN299" s="153">
        <f t="shared" si="132"/>
        <v>0</v>
      </c>
      <c r="AO299" s="153">
        <f t="shared" si="132"/>
        <v>0</v>
      </c>
    </row>
    <row r="300" spans="3:44" x14ac:dyDescent="0.35">
      <c r="C300" s="24"/>
      <c r="F300" s="2"/>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row>
    <row r="301" spans="3:44" x14ac:dyDescent="0.35">
      <c r="C301" s="24"/>
      <c r="F301" t="s">
        <v>1023</v>
      </c>
      <c r="G301" t="s">
        <v>207</v>
      </c>
      <c r="J301" s="153">
        <f t="shared" ref="J301:AO301" si="133">SUMIF($J150:$AO150,J150,$J299:$AOJ299)</f>
        <v>0</v>
      </c>
      <c r="K301" s="153">
        <f t="shared" si="133"/>
        <v>0</v>
      </c>
      <c r="L301" s="153">
        <f t="shared" si="133"/>
        <v>0</v>
      </c>
      <c r="M301" s="153">
        <f t="shared" si="133"/>
        <v>0</v>
      </c>
      <c r="N301" s="153">
        <f t="shared" si="133"/>
        <v>0</v>
      </c>
      <c r="O301" s="153">
        <f t="shared" si="133"/>
        <v>0</v>
      </c>
      <c r="P301" s="153">
        <f t="shared" si="133"/>
        <v>0</v>
      </c>
      <c r="Q301" s="153">
        <f t="shared" si="133"/>
        <v>0</v>
      </c>
      <c r="R301" s="153">
        <f t="shared" si="133"/>
        <v>0</v>
      </c>
      <c r="S301" s="153">
        <f t="shared" si="133"/>
        <v>0</v>
      </c>
      <c r="T301" s="153">
        <f t="shared" si="133"/>
        <v>0</v>
      </c>
      <c r="U301" s="153">
        <f t="shared" si="133"/>
        <v>0</v>
      </c>
      <c r="V301" s="153">
        <f t="shared" si="133"/>
        <v>0</v>
      </c>
      <c r="W301" s="153">
        <f t="shared" si="133"/>
        <v>0</v>
      </c>
      <c r="X301" s="153">
        <f t="shared" si="133"/>
        <v>0</v>
      </c>
      <c r="Y301" s="153">
        <f t="shared" si="133"/>
        <v>0</v>
      </c>
      <c r="Z301" s="153">
        <f t="shared" si="133"/>
        <v>0</v>
      </c>
      <c r="AA301" s="153">
        <f t="shared" si="133"/>
        <v>0</v>
      </c>
      <c r="AB301" s="153">
        <f t="shared" si="133"/>
        <v>0</v>
      </c>
      <c r="AC301" s="153">
        <f t="shared" si="133"/>
        <v>0</v>
      </c>
      <c r="AD301" s="153">
        <f t="shared" si="133"/>
        <v>0</v>
      </c>
      <c r="AE301" s="153">
        <f t="shared" si="133"/>
        <v>0</v>
      </c>
      <c r="AF301" s="153">
        <f t="shared" si="133"/>
        <v>0</v>
      </c>
      <c r="AG301" s="153">
        <f t="shared" si="133"/>
        <v>0</v>
      </c>
      <c r="AH301" s="153">
        <f t="shared" si="133"/>
        <v>0</v>
      </c>
      <c r="AI301" s="153">
        <f t="shared" si="133"/>
        <v>0</v>
      </c>
      <c r="AJ301" s="153">
        <f t="shared" si="133"/>
        <v>0</v>
      </c>
      <c r="AK301" s="153">
        <f t="shared" si="133"/>
        <v>0</v>
      </c>
      <c r="AL301" s="153">
        <f t="shared" si="133"/>
        <v>0</v>
      </c>
      <c r="AM301" s="153">
        <f t="shared" si="133"/>
        <v>0</v>
      </c>
      <c r="AN301" s="153">
        <f t="shared" si="133"/>
        <v>0</v>
      </c>
      <c r="AO301" s="153">
        <f t="shared" si="133"/>
        <v>0</v>
      </c>
    </row>
    <row r="302" spans="3:44" x14ac:dyDescent="0.35">
      <c r="C302" s="24"/>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row>
    <row r="303" spans="3:44" x14ac:dyDescent="0.35">
      <c r="C303" s="24"/>
      <c r="F303" t="s">
        <v>1025</v>
      </c>
      <c r="G303" t="s">
        <v>207</v>
      </c>
      <c r="J303" s="153">
        <f t="shared" ref="J303:AO303" si="134" xml:space="preserve"> J301 * J158</f>
        <v>0</v>
      </c>
      <c r="K303" s="153">
        <f t="shared" si="134"/>
        <v>0</v>
      </c>
      <c r="L303" s="153">
        <f t="shared" si="134"/>
        <v>0</v>
      </c>
      <c r="M303" s="153">
        <f t="shared" si="134"/>
        <v>0</v>
      </c>
      <c r="N303" s="153">
        <f t="shared" si="134"/>
        <v>0</v>
      </c>
      <c r="O303" s="153">
        <f t="shared" si="134"/>
        <v>0</v>
      </c>
      <c r="P303" s="153">
        <f t="shared" si="134"/>
        <v>0</v>
      </c>
      <c r="Q303" s="153">
        <f t="shared" si="134"/>
        <v>0</v>
      </c>
      <c r="R303" s="153">
        <f t="shared" si="134"/>
        <v>0</v>
      </c>
      <c r="S303" s="153">
        <f t="shared" si="134"/>
        <v>0</v>
      </c>
      <c r="T303" s="153">
        <f t="shared" si="134"/>
        <v>0</v>
      </c>
      <c r="U303" s="153">
        <f t="shared" si="134"/>
        <v>0</v>
      </c>
      <c r="V303" s="153">
        <f t="shared" si="134"/>
        <v>0</v>
      </c>
      <c r="W303" s="153">
        <f t="shared" si="134"/>
        <v>0</v>
      </c>
      <c r="X303" s="153">
        <f t="shared" si="134"/>
        <v>0</v>
      </c>
      <c r="Y303" s="153">
        <f t="shared" si="134"/>
        <v>0</v>
      </c>
      <c r="Z303" s="153">
        <f t="shared" si="134"/>
        <v>0</v>
      </c>
      <c r="AA303" s="153">
        <f t="shared" si="134"/>
        <v>0</v>
      </c>
      <c r="AB303" s="153">
        <f t="shared" si="134"/>
        <v>0</v>
      </c>
      <c r="AC303" s="153">
        <f t="shared" si="134"/>
        <v>0</v>
      </c>
      <c r="AD303" s="153">
        <f t="shared" si="134"/>
        <v>0</v>
      </c>
      <c r="AE303" s="153">
        <f t="shared" si="134"/>
        <v>0</v>
      </c>
      <c r="AF303" s="153">
        <f t="shared" si="134"/>
        <v>0</v>
      </c>
      <c r="AG303" s="153">
        <f t="shared" si="134"/>
        <v>0</v>
      </c>
      <c r="AH303" s="153">
        <f t="shared" si="134"/>
        <v>0</v>
      </c>
      <c r="AI303" s="153">
        <f t="shared" si="134"/>
        <v>0</v>
      </c>
      <c r="AJ303" s="153">
        <f t="shared" si="134"/>
        <v>0</v>
      </c>
      <c r="AK303" s="153">
        <f t="shared" si="134"/>
        <v>0</v>
      </c>
      <c r="AL303" s="153">
        <f t="shared" si="134"/>
        <v>0</v>
      </c>
      <c r="AM303" s="153">
        <f t="shared" si="134"/>
        <v>0</v>
      </c>
      <c r="AN303" s="153">
        <f t="shared" si="134"/>
        <v>0</v>
      </c>
      <c r="AO303" s="153">
        <f t="shared" si="134"/>
        <v>0</v>
      </c>
      <c r="AP303" s="13"/>
      <c r="AQ303" s="13"/>
      <c r="AR303" s="13"/>
    </row>
    <row r="304" spans="3:44" x14ac:dyDescent="0.35">
      <c r="C304" s="24"/>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row>
    <row r="305" spans="3:43" x14ac:dyDescent="0.35">
      <c r="C305" s="24"/>
      <c r="E305" s="23" t="s">
        <v>1075</v>
      </c>
      <c r="G305" t="s">
        <v>269</v>
      </c>
      <c r="J305" s="322">
        <f t="shared" ref="J305:AO305" si="135">IF( J299&lt;&gt;0, J296/J303, 0)*hundred/thousand</f>
        <v>0</v>
      </c>
      <c r="K305" s="322">
        <f t="shared" si="135"/>
        <v>0</v>
      </c>
      <c r="L305" s="322">
        <f t="shared" si="135"/>
        <v>0</v>
      </c>
      <c r="M305" s="322">
        <f t="shared" si="135"/>
        <v>0</v>
      </c>
      <c r="N305" s="322">
        <f t="shared" si="135"/>
        <v>0</v>
      </c>
      <c r="O305" s="322">
        <f t="shared" si="135"/>
        <v>0</v>
      </c>
      <c r="P305" s="322">
        <f t="shared" si="135"/>
        <v>0</v>
      </c>
      <c r="Q305" s="322">
        <f t="shared" si="135"/>
        <v>0</v>
      </c>
      <c r="R305" s="322">
        <f t="shared" si="135"/>
        <v>0</v>
      </c>
      <c r="S305" s="322">
        <f t="shared" si="135"/>
        <v>0</v>
      </c>
      <c r="T305" s="322">
        <f t="shared" si="135"/>
        <v>0</v>
      </c>
      <c r="U305" s="322">
        <f t="shared" si="135"/>
        <v>0</v>
      </c>
      <c r="V305" s="322">
        <f t="shared" si="135"/>
        <v>0</v>
      </c>
      <c r="W305" s="322">
        <f t="shared" si="135"/>
        <v>0</v>
      </c>
      <c r="X305" s="322">
        <f t="shared" si="135"/>
        <v>0</v>
      </c>
      <c r="Y305" s="322">
        <f t="shared" si="135"/>
        <v>0</v>
      </c>
      <c r="Z305" s="322">
        <f t="shared" si="135"/>
        <v>0</v>
      </c>
      <c r="AA305" s="322">
        <f t="shared" si="135"/>
        <v>0</v>
      </c>
      <c r="AB305" s="322">
        <f t="shared" si="135"/>
        <v>0</v>
      </c>
      <c r="AC305" s="322">
        <f t="shared" si="135"/>
        <v>0</v>
      </c>
      <c r="AD305" s="322">
        <f t="shared" si="135"/>
        <v>0</v>
      </c>
      <c r="AE305" s="322">
        <f t="shared" si="135"/>
        <v>0</v>
      </c>
      <c r="AF305" s="322">
        <f t="shared" si="135"/>
        <v>0</v>
      </c>
      <c r="AG305" s="322">
        <f t="shared" si="135"/>
        <v>0</v>
      </c>
      <c r="AH305" s="322">
        <f t="shared" si="135"/>
        <v>0</v>
      </c>
      <c r="AI305" s="322">
        <f t="shared" si="135"/>
        <v>0</v>
      </c>
      <c r="AJ305" s="322">
        <f t="shared" si="135"/>
        <v>0</v>
      </c>
      <c r="AK305" s="322">
        <f t="shared" si="135"/>
        <v>0</v>
      </c>
      <c r="AL305" s="322">
        <f t="shared" si="135"/>
        <v>0</v>
      </c>
      <c r="AM305" s="322">
        <f t="shared" si="135"/>
        <v>0</v>
      </c>
      <c r="AN305" s="322">
        <f t="shared" si="135"/>
        <v>0</v>
      </c>
      <c r="AO305" s="322">
        <f t="shared" si="135"/>
        <v>0</v>
      </c>
    </row>
    <row r="306" spans="3:43" x14ac:dyDescent="0.35">
      <c r="C306" s="24"/>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row>
    <row r="307" spans="3:43" x14ac:dyDescent="0.35">
      <c r="C307" s="24"/>
      <c r="E307" s="27" t="s">
        <v>1076</v>
      </c>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row>
    <row r="308" spans="3:43" x14ac:dyDescent="0.35">
      <c r="C308" s="24"/>
      <c r="F308" s="19" t="s">
        <v>1056</v>
      </c>
      <c r="G308" s="19" t="s">
        <v>907</v>
      </c>
      <c r="H308" s="19"/>
      <c r="I308" s="19"/>
      <c r="J308" s="387" t="b">
        <f t="shared" ref="J308:AO308" si="136">IF(J$32, - J263+J$305&gt;=0, TRUE)</f>
        <v>1</v>
      </c>
      <c r="K308" s="387" t="b">
        <f t="shared" si="136"/>
        <v>1</v>
      </c>
      <c r="L308" s="387" t="b">
        <f t="shared" si="136"/>
        <v>1</v>
      </c>
      <c r="M308" s="387" t="b">
        <f t="shared" si="136"/>
        <v>1</v>
      </c>
      <c r="N308" s="387" t="b">
        <f t="shared" si="136"/>
        <v>1</v>
      </c>
      <c r="O308" s="387" t="b">
        <f t="shared" si="136"/>
        <v>1</v>
      </c>
      <c r="P308" s="387" t="b">
        <f t="shared" si="136"/>
        <v>1</v>
      </c>
      <c r="Q308" s="387" t="b">
        <f t="shared" si="136"/>
        <v>1</v>
      </c>
      <c r="R308" s="387" t="b">
        <f t="shared" si="136"/>
        <v>1</v>
      </c>
      <c r="S308" s="387" t="b">
        <f t="shared" si="136"/>
        <v>1</v>
      </c>
      <c r="T308" s="387" t="b">
        <f t="shared" si="136"/>
        <v>1</v>
      </c>
      <c r="U308" s="387" t="b">
        <f t="shared" si="136"/>
        <v>1</v>
      </c>
      <c r="V308" s="387" t="b">
        <f t="shared" si="136"/>
        <v>1</v>
      </c>
      <c r="W308" s="387" t="b">
        <f t="shared" si="136"/>
        <v>1</v>
      </c>
      <c r="X308" s="387" t="b">
        <f t="shared" si="136"/>
        <v>1</v>
      </c>
      <c r="Y308" s="387" t="b">
        <f t="shared" si="136"/>
        <v>1</v>
      </c>
      <c r="Z308" s="387" t="b">
        <f t="shared" si="136"/>
        <v>1</v>
      </c>
      <c r="AA308" s="387" t="b">
        <f t="shared" si="136"/>
        <v>1</v>
      </c>
      <c r="AB308" s="387" t="b">
        <f t="shared" si="136"/>
        <v>1</v>
      </c>
      <c r="AC308" s="387" t="b">
        <f t="shared" si="136"/>
        <v>1</v>
      </c>
      <c r="AD308" s="387" t="b">
        <f t="shared" si="136"/>
        <v>1</v>
      </c>
      <c r="AE308" s="387" t="b">
        <f t="shared" si="136"/>
        <v>1</v>
      </c>
      <c r="AF308" s="387" t="b">
        <f t="shared" si="136"/>
        <v>1</v>
      </c>
      <c r="AG308" s="387" t="b">
        <f t="shared" si="136"/>
        <v>1</v>
      </c>
      <c r="AH308" s="387" t="b">
        <f t="shared" si="136"/>
        <v>1</v>
      </c>
      <c r="AI308" s="387" t="b">
        <f t="shared" si="136"/>
        <v>1</v>
      </c>
      <c r="AJ308" s="387" t="b">
        <f t="shared" si="136"/>
        <v>1</v>
      </c>
      <c r="AK308" s="387" t="b">
        <f t="shared" si="136"/>
        <v>1</v>
      </c>
      <c r="AL308" s="387" t="b">
        <f t="shared" si="136"/>
        <v>1</v>
      </c>
      <c r="AM308" s="387" t="b">
        <f t="shared" si="136"/>
        <v>1</v>
      </c>
      <c r="AN308" s="387" t="b">
        <f t="shared" si="136"/>
        <v>1</v>
      </c>
      <c r="AO308" s="387" t="b">
        <f t="shared" si="136"/>
        <v>1</v>
      </c>
    </row>
    <row r="309" spans="3:43" x14ac:dyDescent="0.35">
      <c r="C309" s="24"/>
      <c r="F309" t="s">
        <v>1057</v>
      </c>
      <c r="G309" t="s">
        <v>907</v>
      </c>
      <c r="J309" s="13" t="b">
        <f t="shared" ref="J309:AO309" si="137">IF(J$32, - J264+J$305&gt;=0, TRUE)</f>
        <v>1</v>
      </c>
      <c r="K309" s="13" t="b">
        <f t="shared" si="137"/>
        <v>1</v>
      </c>
      <c r="L309" s="13" t="b">
        <f t="shared" si="137"/>
        <v>1</v>
      </c>
      <c r="M309" s="13" t="b">
        <f t="shared" si="137"/>
        <v>1</v>
      </c>
      <c r="N309" s="13" t="b">
        <f t="shared" si="137"/>
        <v>1</v>
      </c>
      <c r="O309" s="13" t="b">
        <f t="shared" si="137"/>
        <v>1</v>
      </c>
      <c r="P309" s="13" t="b">
        <f t="shared" si="137"/>
        <v>1</v>
      </c>
      <c r="Q309" s="13" t="b">
        <f t="shared" si="137"/>
        <v>1</v>
      </c>
      <c r="R309" s="13" t="b">
        <f t="shared" si="137"/>
        <v>1</v>
      </c>
      <c r="S309" s="13" t="b">
        <f t="shared" si="137"/>
        <v>1</v>
      </c>
      <c r="T309" s="13" t="b">
        <f t="shared" si="137"/>
        <v>1</v>
      </c>
      <c r="U309" s="13" t="b">
        <f t="shared" si="137"/>
        <v>1</v>
      </c>
      <c r="V309" s="13" t="b">
        <f t="shared" si="137"/>
        <v>1</v>
      </c>
      <c r="W309" s="13" t="b">
        <f t="shared" si="137"/>
        <v>1</v>
      </c>
      <c r="X309" s="13" t="b">
        <f t="shared" si="137"/>
        <v>1</v>
      </c>
      <c r="Y309" s="13" t="b">
        <f t="shared" si="137"/>
        <v>1</v>
      </c>
      <c r="Z309" s="13" t="b">
        <f t="shared" si="137"/>
        <v>1</v>
      </c>
      <c r="AA309" s="13" t="b">
        <f t="shared" si="137"/>
        <v>1</v>
      </c>
      <c r="AB309" s="13" t="b">
        <f t="shared" si="137"/>
        <v>1</v>
      </c>
      <c r="AC309" s="13" t="b">
        <f t="shared" si="137"/>
        <v>1</v>
      </c>
      <c r="AD309" s="13" t="b">
        <f t="shared" si="137"/>
        <v>1</v>
      </c>
      <c r="AE309" s="13" t="b">
        <f t="shared" si="137"/>
        <v>1</v>
      </c>
      <c r="AF309" s="13" t="b">
        <f t="shared" si="137"/>
        <v>1</v>
      </c>
      <c r="AG309" s="13" t="b">
        <f t="shared" si="137"/>
        <v>1</v>
      </c>
      <c r="AH309" s="13" t="b">
        <f t="shared" si="137"/>
        <v>1</v>
      </c>
      <c r="AI309" s="13" t="b">
        <f t="shared" si="137"/>
        <v>1</v>
      </c>
      <c r="AJ309" s="13" t="b">
        <f t="shared" si="137"/>
        <v>1</v>
      </c>
      <c r="AK309" s="13" t="b">
        <f t="shared" si="137"/>
        <v>1</v>
      </c>
      <c r="AL309" s="13" t="b">
        <f t="shared" si="137"/>
        <v>1</v>
      </c>
      <c r="AM309" s="13" t="b">
        <f t="shared" si="137"/>
        <v>1</v>
      </c>
      <c r="AN309" s="13" t="b">
        <f t="shared" si="137"/>
        <v>1</v>
      </c>
      <c r="AO309" s="13" t="b">
        <f t="shared" si="137"/>
        <v>1</v>
      </c>
    </row>
    <row r="310" spans="3:43" x14ac:dyDescent="0.35">
      <c r="C310" s="24"/>
      <c r="F310" s="28" t="s">
        <v>1058</v>
      </c>
      <c r="G310" s="28" t="s">
        <v>907</v>
      </c>
      <c r="H310" s="28"/>
      <c r="I310" s="28"/>
      <c r="J310" s="388" t="b">
        <f t="shared" ref="J310:AO310" si="138">IF(J$32, - J265+J$305&gt;=0, TRUE)</f>
        <v>1</v>
      </c>
      <c r="K310" s="388" t="b">
        <f t="shared" si="138"/>
        <v>1</v>
      </c>
      <c r="L310" s="388" t="b">
        <f t="shared" si="138"/>
        <v>1</v>
      </c>
      <c r="M310" s="388" t="b">
        <f t="shared" si="138"/>
        <v>1</v>
      </c>
      <c r="N310" s="388" t="b">
        <f t="shared" si="138"/>
        <v>1</v>
      </c>
      <c r="O310" s="388" t="b">
        <f t="shared" si="138"/>
        <v>1</v>
      </c>
      <c r="P310" s="388" t="b">
        <f t="shared" si="138"/>
        <v>1</v>
      </c>
      <c r="Q310" s="388" t="b">
        <f t="shared" si="138"/>
        <v>1</v>
      </c>
      <c r="R310" s="388" t="b">
        <f t="shared" si="138"/>
        <v>1</v>
      </c>
      <c r="S310" s="388" t="b">
        <f t="shared" si="138"/>
        <v>1</v>
      </c>
      <c r="T310" s="388" t="b">
        <f t="shared" si="138"/>
        <v>1</v>
      </c>
      <c r="U310" s="388" t="b">
        <f t="shared" si="138"/>
        <v>1</v>
      </c>
      <c r="V310" s="388" t="b">
        <f t="shared" si="138"/>
        <v>1</v>
      </c>
      <c r="W310" s="388" t="b">
        <f t="shared" si="138"/>
        <v>1</v>
      </c>
      <c r="X310" s="388" t="b">
        <f t="shared" si="138"/>
        <v>1</v>
      </c>
      <c r="Y310" s="388" t="b">
        <f t="shared" si="138"/>
        <v>1</v>
      </c>
      <c r="Z310" s="388" t="b">
        <f t="shared" si="138"/>
        <v>1</v>
      </c>
      <c r="AA310" s="388" t="b">
        <f t="shared" si="138"/>
        <v>1</v>
      </c>
      <c r="AB310" s="388" t="b">
        <f t="shared" si="138"/>
        <v>1</v>
      </c>
      <c r="AC310" s="388" t="b">
        <f t="shared" si="138"/>
        <v>1</v>
      </c>
      <c r="AD310" s="388" t="b">
        <f t="shared" si="138"/>
        <v>1</v>
      </c>
      <c r="AE310" s="388" t="b">
        <f t="shared" si="138"/>
        <v>1</v>
      </c>
      <c r="AF310" s="388" t="b">
        <f t="shared" si="138"/>
        <v>1</v>
      </c>
      <c r="AG310" s="388" t="b">
        <f t="shared" si="138"/>
        <v>1</v>
      </c>
      <c r="AH310" s="388" t="b">
        <f t="shared" si="138"/>
        <v>1</v>
      </c>
      <c r="AI310" s="388" t="b">
        <f t="shared" si="138"/>
        <v>1</v>
      </c>
      <c r="AJ310" s="388" t="b">
        <f t="shared" si="138"/>
        <v>1</v>
      </c>
      <c r="AK310" s="388" t="b">
        <f t="shared" si="138"/>
        <v>1</v>
      </c>
      <c r="AL310" s="388" t="b">
        <f t="shared" si="138"/>
        <v>1</v>
      </c>
      <c r="AM310" s="388" t="b">
        <f t="shared" si="138"/>
        <v>1</v>
      </c>
      <c r="AN310" s="388" t="b">
        <f t="shared" si="138"/>
        <v>1</v>
      </c>
      <c r="AO310" s="388" t="b">
        <f t="shared" si="138"/>
        <v>1</v>
      </c>
    </row>
    <row r="311" spans="3:43" x14ac:dyDescent="0.35">
      <c r="C311" s="24"/>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row>
    <row r="312" spans="3:43" x14ac:dyDescent="0.35">
      <c r="C312" s="24"/>
      <c r="E312" t="s">
        <v>1077</v>
      </c>
      <c r="G312" t="s">
        <v>907</v>
      </c>
      <c r="J312" s="13" t="b">
        <f>COUNTIF(J308:J310,TRUE)=3</f>
        <v>1</v>
      </c>
      <c r="K312" s="13" t="b">
        <f t="shared" ref="K312:AO312" si="139">COUNTIF(K308:K310,TRUE)=3</f>
        <v>1</v>
      </c>
      <c r="L312" s="13" t="b">
        <f t="shared" si="139"/>
        <v>1</v>
      </c>
      <c r="M312" s="13" t="b">
        <f t="shared" si="139"/>
        <v>1</v>
      </c>
      <c r="N312" s="13" t="b">
        <f t="shared" si="139"/>
        <v>1</v>
      </c>
      <c r="O312" s="13" t="b">
        <f t="shared" si="139"/>
        <v>1</v>
      </c>
      <c r="P312" s="13" t="b">
        <f t="shared" si="139"/>
        <v>1</v>
      </c>
      <c r="Q312" s="13" t="b">
        <f t="shared" si="139"/>
        <v>1</v>
      </c>
      <c r="R312" s="13" t="b">
        <f t="shared" si="139"/>
        <v>1</v>
      </c>
      <c r="S312" s="13" t="b">
        <f t="shared" si="139"/>
        <v>1</v>
      </c>
      <c r="T312" s="13" t="b">
        <f t="shared" si="139"/>
        <v>1</v>
      </c>
      <c r="U312" s="13" t="b">
        <f t="shared" si="139"/>
        <v>1</v>
      </c>
      <c r="V312" s="13" t="b">
        <f t="shared" si="139"/>
        <v>1</v>
      </c>
      <c r="W312" s="13" t="b">
        <f t="shared" si="139"/>
        <v>1</v>
      </c>
      <c r="X312" s="13" t="b">
        <f t="shared" si="139"/>
        <v>1</v>
      </c>
      <c r="Y312" s="13" t="b">
        <f t="shared" si="139"/>
        <v>1</v>
      </c>
      <c r="Z312" s="13" t="b">
        <f t="shared" si="139"/>
        <v>1</v>
      </c>
      <c r="AA312" s="13" t="b">
        <f t="shared" si="139"/>
        <v>1</v>
      </c>
      <c r="AB312" s="13" t="b">
        <f t="shared" si="139"/>
        <v>1</v>
      </c>
      <c r="AC312" s="13" t="b">
        <f t="shared" si="139"/>
        <v>1</v>
      </c>
      <c r="AD312" s="13" t="b">
        <f t="shared" si="139"/>
        <v>1</v>
      </c>
      <c r="AE312" s="13" t="b">
        <f t="shared" si="139"/>
        <v>1</v>
      </c>
      <c r="AF312" s="13" t="b">
        <f t="shared" si="139"/>
        <v>1</v>
      </c>
      <c r="AG312" s="13" t="b">
        <f t="shared" si="139"/>
        <v>1</v>
      </c>
      <c r="AH312" s="13" t="b">
        <f t="shared" si="139"/>
        <v>1</v>
      </c>
      <c r="AI312" s="13" t="b">
        <f t="shared" si="139"/>
        <v>1</v>
      </c>
      <c r="AJ312" s="13" t="b">
        <f t="shared" si="139"/>
        <v>1</v>
      </c>
      <c r="AK312" s="13" t="b">
        <f t="shared" si="139"/>
        <v>1</v>
      </c>
      <c r="AL312" s="13" t="b">
        <f t="shared" si="139"/>
        <v>1</v>
      </c>
      <c r="AM312" s="13" t="b">
        <f t="shared" si="139"/>
        <v>1</v>
      </c>
      <c r="AN312" s="13" t="b">
        <f t="shared" si="139"/>
        <v>1</v>
      </c>
      <c r="AO312" s="13" t="b">
        <f t="shared" si="139"/>
        <v>1</v>
      </c>
    </row>
    <row r="313" spans="3:43" x14ac:dyDescent="0.35">
      <c r="C313" s="24"/>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row>
    <row r="314" spans="3:43" x14ac:dyDescent="0.35">
      <c r="C314" s="26" t="str">
        <f ca="1">INDEX('Version control'!$H$38:$H$61,MATCH($A$1,'Version control'!$F$38:$F$61,0),1)&amp;"-L: Revenue matching for two timebands"</f>
        <v>Section 116-L: Revenue matching for two timebands</v>
      </c>
      <c r="D314" s="26"/>
      <c r="E314" s="26"/>
      <c r="F314" s="26"/>
      <c r="G314" s="26"/>
      <c r="H314" s="26"/>
      <c r="I314" s="26"/>
      <c r="J314" s="179"/>
      <c r="K314" s="179"/>
      <c r="L314" s="179"/>
      <c r="M314" s="179"/>
      <c r="N314" s="179"/>
      <c r="O314" s="179"/>
      <c r="P314" s="179"/>
      <c r="Q314" s="179"/>
      <c r="R314" s="179"/>
      <c r="S314" s="179"/>
      <c r="T314" s="179"/>
      <c r="U314" s="179"/>
      <c r="V314" s="179"/>
      <c r="W314" s="179"/>
      <c r="X314" s="179"/>
      <c r="Y314" s="179"/>
      <c r="Z314" s="179"/>
      <c r="AA314" s="179"/>
      <c r="AB314" s="179"/>
      <c r="AC314" s="179"/>
      <c r="AD314" s="179"/>
      <c r="AE314" s="179"/>
      <c r="AF314" s="179"/>
      <c r="AG314" s="179"/>
      <c r="AH314" s="179"/>
      <c r="AI314" s="179"/>
      <c r="AJ314" s="179"/>
      <c r="AK314" s="179"/>
      <c r="AL314" s="179"/>
      <c r="AM314" s="179"/>
      <c r="AN314" s="179"/>
      <c r="AO314" s="179"/>
      <c r="AP314" s="26"/>
      <c r="AQ314" s="26"/>
    </row>
    <row r="315" spans="3:43" x14ac:dyDescent="0.35">
      <c r="C315" s="24"/>
      <c r="E315" s="27"/>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row>
    <row r="316" spans="3:43" x14ac:dyDescent="0.35">
      <c r="C316" s="24"/>
      <c r="D316" s="24" t="s">
        <v>1145</v>
      </c>
      <c r="E316" s="27"/>
      <c r="I316" t="s">
        <v>154</v>
      </c>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Q316" t="s">
        <v>1123</v>
      </c>
    </row>
    <row r="317" spans="3:43" x14ac:dyDescent="0.35">
      <c r="C317" s="24"/>
      <c r="D317" s="24" t="s">
        <v>1078</v>
      </c>
      <c r="E317" s="27"/>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row>
    <row r="318" spans="3:43" x14ac:dyDescent="0.35">
      <c r="C318" s="24"/>
      <c r="D318" s="24" t="s">
        <v>1079</v>
      </c>
      <c r="E318" s="27"/>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row>
    <row r="319" spans="3:43" x14ac:dyDescent="0.35">
      <c r="C319" s="24"/>
      <c r="D319" s="24" t="s">
        <v>1080</v>
      </c>
      <c r="E319" s="27"/>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row>
    <row r="320" spans="3:43" x14ac:dyDescent="0.35">
      <c r="C320" s="24"/>
      <c r="E320" s="27"/>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row>
    <row r="321" spans="3:44" x14ac:dyDescent="0.35">
      <c r="C321" s="24"/>
      <c r="E321" s="27" t="s">
        <v>1081</v>
      </c>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row>
    <row r="322" spans="3:44" x14ac:dyDescent="0.35">
      <c r="C322" s="24"/>
      <c r="F322" s="20" t="s">
        <v>1082</v>
      </c>
      <c r="G322" t="s">
        <v>931</v>
      </c>
      <c r="J322" s="153">
        <f t="shared" ref="J322:AO322" si="140">J263*J283*thousand/hundred</f>
        <v>0</v>
      </c>
      <c r="K322" s="153">
        <f t="shared" si="140"/>
        <v>0</v>
      </c>
      <c r="L322" s="153">
        <f t="shared" si="140"/>
        <v>0</v>
      </c>
      <c r="M322" s="153">
        <f t="shared" si="140"/>
        <v>0</v>
      </c>
      <c r="N322" s="153">
        <f t="shared" si="140"/>
        <v>0</v>
      </c>
      <c r="O322" s="153">
        <f t="shared" si="140"/>
        <v>0</v>
      </c>
      <c r="P322" s="153">
        <f t="shared" si="140"/>
        <v>0</v>
      </c>
      <c r="Q322" s="153">
        <f t="shared" si="140"/>
        <v>0</v>
      </c>
      <c r="R322" s="153">
        <f t="shared" si="140"/>
        <v>0</v>
      </c>
      <c r="S322" s="153">
        <f t="shared" si="140"/>
        <v>0</v>
      </c>
      <c r="T322" s="153">
        <f t="shared" si="140"/>
        <v>0</v>
      </c>
      <c r="U322" s="153">
        <f t="shared" si="140"/>
        <v>0</v>
      </c>
      <c r="V322" s="153">
        <f t="shared" si="140"/>
        <v>0</v>
      </c>
      <c r="W322" s="153">
        <f t="shared" si="140"/>
        <v>0</v>
      </c>
      <c r="X322" s="153">
        <f t="shared" si="140"/>
        <v>0</v>
      </c>
      <c r="Y322" s="153">
        <f t="shared" si="140"/>
        <v>0</v>
      </c>
      <c r="Z322" s="153">
        <f t="shared" si="140"/>
        <v>0</v>
      </c>
      <c r="AA322" s="153">
        <f t="shared" si="140"/>
        <v>0</v>
      </c>
      <c r="AB322" s="153">
        <f t="shared" si="140"/>
        <v>0</v>
      </c>
      <c r="AC322" s="153">
        <f t="shared" si="140"/>
        <v>0</v>
      </c>
      <c r="AD322" s="153">
        <f t="shared" si="140"/>
        <v>0</v>
      </c>
      <c r="AE322" s="153">
        <f t="shared" si="140"/>
        <v>0</v>
      </c>
      <c r="AF322" s="153">
        <f t="shared" si="140"/>
        <v>0</v>
      </c>
      <c r="AG322" s="153">
        <f t="shared" si="140"/>
        <v>0</v>
      </c>
      <c r="AH322" s="153">
        <f t="shared" si="140"/>
        <v>0</v>
      </c>
      <c r="AI322" s="153">
        <f t="shared" si="140"/>
        <v>0</v>
      </c>
      <c r="AJ322" s="153">
        <f t="shared" si="140"/>
        <v>0</v>
      </c>
      <c r="AK322" s="153">
        <f t="shared" si="140"/>
        <v>0</v>
      </c>
      <c r="AL322" s="153">
        <f t="shared" si="140"/>
        <v>0</v>
      </c>
      <c r="AM322" s="153">
        <f t="shared" si="140"/>
        <v>0</v>
      </c>
      <c r="AN322" s="153">
        <f t="shared" si="140"/>
        <v>0</v>
      </c>
      <c r="AO322" s="153">
        <f t="shared" si="140"/>
        <v>0</v>
      </c>
    </row>
    <row r="323" spans="3:44" x14ac:dyDescent="0.35">
      <c r="C323" s="24"/>
      <c r="F323" s="27"/>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row>
    <row r="324" spans="3:44" x14ac:dyDescent="0.35">
      <c r="C324" s="24"/>
      <c r="F324" s="389" t="s">
        <v>1083</v>
      </c>
      <c r="G324" t="s">
        <v>931</v>
      </c>
      <c r="J324" s="153">
        <f t="shared" ref="J324:AO324" si="141">J229 - J322</f>
        <v>0</v>
      </c>
      <c r="K324" s="153">
        <f t="shared" si="141"/>
        <v>0</v>
      </c>
      <c r="L324" s="153">
        <f t="shared" si="141"/>
        <v>0</v>
      </c>
      <c r="M324" s="153">
        <f t="shared" si="141"/>
        <v>0</v>
      </c>
      <c r="N324" s="153">
        <f t="shared" si="141"/>
        <v>0</v>
      </c>
      <c r="O324" s="153">
        <f t="shared" si="141"/>
        <v>0</v>
      </c>
      <c r="P324" s="153">
        <f t="shared" si="141"/>
        <v>0</v>
      </c>
      <c r="Q324" s="153">
        <f t="shared" si="141"/>
        <v>0</v>
      </c>
      <c r="R324" s="153">
        <f t="shared" si="141"/>
        <v>0</v>
      </c>
      <c r="S324" s="153">
        <f t="shared" si="141"/>
        <v>0</v>
      </c>
      <c r="T324" s="153">
        <f t="shared" si="141"/>
        <v>0</v>
      </c>
      <c r="U324" s="153">
        <f t="shared" si="141"/>
        <v>0</v>
      </c>
      <c r="V324" s="153">
        <f t="shared" si="141"/>
        <v>0</v>
      </c>
      <c r="W324" s="153">
        <f t="shared" si="141"/>
        <v>0</v>
      </c>
      <c r="X324" s="153">
        <f t="shared" si="141"/>
        <v>0</v>
      </c>
      <c r="Y324" s="153">
        <f t="shared" si="141"/>
        <v>0</v>
      </c>
      <c r="Z324" s="153">
        <f t="shared" si="141"/>
        <v>0</v>
      </c>
      <c r="AA324" s="153">
        <f t="shared" si="141"/>
        <v>0</v>
      </c>
      <c r="AB324" s="153">
        <f t="shared" si="141"/>
        <v>0</v>
      </c>
      <c r="AC324" s="153">
        <f t="shared" si="141"/>
        <v>0</v>
      </c>
      <c r="AD324" s="153">
        <f t="shared" si="141"/>
        <v>0</v>
      </c>
      <c r="AE324" s="153">
        <f t="shared" si="141"/>
        <v>0</v>
      </c>
      <c r="AF324" s="153">
        <f t="shared" si="141"/>
        <v>0</v>
      </c>
      <c r="AG324" s="153">
        <f t="shared" si="141"/>
        <v>0</v>
      </c>
      <c r="AH324" s="153">
        <f t="shared" si="141"/>
        <v>0</v>
      </c>
      <c r="AI324" s="153">
        <f t="shared" si="141"/>
        <v>0</v>
      </c>
      <c r="AJ324" s="153">
        <f t="shared" si="141"/>
        <v>0</v>
      </c>
      <c r="AK324" s="153">
        <f t="shared" si="141"/>
        <v>0</v>
      </c>
      <c r="AL324" s="153">
        <f t="shared" si="141"/>
        <v>0</v>
      </c>
      <c r="AM324" s="153">
        <f t="shared" si="141"/>
        <v>0</v>
      </c>
      <c r="AN324" s="153">
        <f t="shared" si="141"/>
        <v>0</v>
      </c>
      <c r="AO324" s="153">
        <f t="shared" si="141"/>
        <v>0</v>
      </c>
    </row>
    <row r="325" spans="3:44" x14ac:dyDescent="0.35">
      <c r="C325" s="24"/>
      <c r="F325" s="27"/>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row>
    <row r="326" spans="3:44" x14ac:dyDescent="0.35">
      <c r="C326" s="24"/>
      <c r="F326" t="s">
        <v>1072</v>
      </c>
      <c r="G326" t="s">
        <v>931</v>
      </c>
      <c r="J326" s="153">
        <f>SUMIF($J$150:$AO$150,J$150,$J324:$AO324)</f>
        <v>0</v>
      </c>
      <c r="K326" s="153">
        <f t="shared" ref="K326:AO326" si="142">SUMIF($J$150:$AO$150,K$150,$J324:$AO324)</f>
        <v>0</v>
      </c>
      <c r="L326" s="153">
        <f t="shared" si="142"/>
        <v>0</v>
      </c>
      <c r="M326" s="153">
        <f t="shared" si="142"/>
        <v>0</v>
      </c>
      <c r="N326" s="153">
        <f t="shared" si="142"/>
        <v>0</v>
      </c>
      <c r="O326" s="153">
        <f t="shared" si="142"/>
        <v>0</v>
      </c>
      <c r="P326" s="153">
        <f t="shared" si="142"/>
        <v>0</v>
      </c>
      <c r="Q326" s="153">
        <f t="shared" si="142"/>
        <v>0</v>
      </c>
      <c r="R326" s="153">
        <f t="shared" si="142"/>
        <v>0</v>
      </c>
      <c r="S326" s="153">
        <f t="shared" si="142"/>
        <v>0</v>
      </c>
      <c r="T326" s="153">
        <f t="shared" si="142"/>
        <v>0</v>
      </c>
      <c r="U326" s="153">
        <f t="shared" si="142"/>
        <v>0</v>
      </c>
      <c r="V326" s="153">
        <f t="shared" si="142"/>
        <v>0</v>
      </c>
      <c r="W326" s="153">
        <f t="shared" si="142"/>
        <v>0</v>
      </c>
      <c r="X326" s="153">
        <f t="shared" si="142"/>
        <v>0</v>
      </c>
      <c r="Y326" s="153">
        <f t="shared" si="142"/>
        <v>0</v>
      </c>
      <c r="Z326" s="153">
        <f t="shared" si="142"/>
        <v>0</v>
      </c>
      <c r="AA326" s="153">
        <f t="shared" si="142"/>
        <v>0</v>
      </c>
      <c r="AB326" s="153">
        <f t="shared" si="142"/>
        <v>0</v>
      </c>
      <c r="AC326" s="153">
        <f t="shared" si="142"/>
        <v>0</v>
      </c>
      <c r="AD326" s="153">
        <f t="shared" si="142"/>
        <v>0</v>
      </c>
      <c r="AE326" s="153">
        <f t="shared" si="142"/>
        <v>0</v>
      </c>
      <c r="AF326" s="153">
        <f t="shared" si="142"/>
        <v>0</v>
      </c>
      <c r="AG326" s="153">
        <f t="shared" si="142"/>
        <v>0</v>
      </c>
      <c r="AH326" s="153">
        <f t="shared" si="142"/>
        <v>0</v>
      </c>
      <c r="AI326" s="153">
        <f t="shared" si="142"/>
        <v>0</v>
      </c>
      <c r="AJ326" s="153">
        <f t="shared" si="142"/>
        <v>0</v>
      </c>
      <c r="AK326" s="153">
        <f t="shared" si="142"/>
        <v>0</v>
      </c>
      <c r="AL326" s="153">
        <f t="shared" si="142"/>
        <v>0</v>
      </c>
      <c r="AM326" s="153">
        <f t="shared" si="142"/>
        <v>0</v>
      </c>
      <c r="AN326" s="153">
        <f t="shared" si="142"/>
        <v>0</v>
      </c>
      <c r="AO326" s="153">
        <f t="shared" si="142"/>
        <v>0</v>
      </c>
    </row>
    <row r="327" spans="3:44" x14ac:dyDescent="0.35">
      <c r="C327" s="24"/>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row>
    <row r="328" spans="3:44" x14ac:dyDescent="0.35">
      <c r="C328" s="24"/>
      <c r="F328" t="s">
        <v>1073</v>
      </c>
      <c r="G328" t="s">
        <v>931</v>
      </c>
      <c r="J328" s="153">
        <f t="shared" ref="J328:AO328" si="143" xml:space="preserve"> J326 * J158</f>
        <v>0</v>
      </c>
      <c r="K328" s="153">
        <f t="shared" si="143"/>
        <v>0</v>
      </c>
      <c r="L328" s="153">
        <f t="shared" si="143"/>
        <v>0</v>
      </c>
      <c r="M328" s="153">
        <f t="shared" si="143"/>
        <v>0</v>
      </c>
      <c r="N328" s="153">
        <f t="shared" si="143"/>
        <v>0</v>
      </c>
      <c r="O328" s="153">
        <f t="shared" si="143"/>
        <v>0</v>
      </c>
      <c r="P328" s="153">
        <f t="shared" si="143"/>
        <v>0</v>
      </c>
      <c r="Q328" s="153">
        <f t="shared" si="143"/>
        <v>0</v>
      </c>
      <c r="R328" s="153">
        <f t="shared" si="143"/>
        <v>0</v>
      </c>
      <c r="S328" s="153">
        <f t="shared" si="143"/>
        <v>0</v>
      </c>
      <c r="T328" s="153">
        <f t="shared" si="143"/>
        <v>0</v>
      </c>
      <c r="U328" s="153">
        <f t="shared" si="143"/>
        <v>0</v>
      </c>
      <c r="V328" s="153">
        <f t="shared" si="143"/>
        <v>0</v>
      </c>
      <c r="W328" s="153">
        <f t="shared" si="143"/>
        <v>0</v>
      </c>
      <c r="X328" s="153">
        <f t="shared" si="143"/>
        <v>0</v>
      </c>
      <c r="Y328" s="153">
        <f t="shared" si="143"/>
        <v>0</v>
      </c>
      <c r="Z328" s="153">
        <f t="shared" si="143"/>
        <v>0</v>
      </c>
      <c r="AA328" s="153">
        <f t="shared" si="143"/>
        <v>0</v>
      </c>
      <c r="AB328" s="153">
        <f t="shared" si="143"/>
        <v>0</v>
      </c>
      <c r="AC328" s="153">
        <f t="shared" si="143"/>
        <v>0</v>
      </c>
      <c r="AD328" s="153">
        <f t="shared" si="143"/>
        <v>0</v>
      </c>
      <c r="AE328" s="153">
        <f t="shared" si="143"/>
        <v>0</v>
      </c>
      <c r="AF328" s="153">
        <f t="shared" si="143"/>
        <v>0</v>
      </c>
      <c r="AG328" s="153">
        <f t="shared" si="143"/>
        <v>0</v>
      </c>
      <c r="AH328" s="153">
        <f t="shared" si="143"/>
        <v>0</v>
      </c>
      <c r="AI328" s="153">
        <f t="shared" si="143"/>
        <v>0</v>
      </c>
      <c r="AJ328" s="153">
        <f t="shared" si="143"/>
        <v>0</v>
      </c>
      <c r="AK328" s="153">
        <f t="shared" si="143"/>
        <v>0</v>
      </c>
      <c r="AL328" s="153">
        <f t="shared" si="143"/>
        <v>0</v>
      </c>
      <c r="AM328" s="153">
        <f t="shared" si="143"/>
        <v>0</v>
      </c>
      <c r="AN328" s="153">
        <f t="shared" si="143"/>
        <v>0</v>
      </c>
      <c r="AO328" s="153">
        <f t="shared" si="143"/>
        <v>0</v>
      </c>
    </row>
    <row r="329" spans="3:44" x14ac:dyDescent="0.35">
      <c r="C329" s="24"/>
      <c r="F329" s="2"/>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row>
    <row r="330" spans="3:44" x14ac:dyDescent="0.35">
      <c r="C330" s="24"/>
      <c r="E330" s="27" t="s">
        <v>1021</v>
      </c>
      <c r="F330" s="2"/>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row>
    <row r="331" spans="3:44" x14ac:dyDescent="0.35">
      <c r="C331" s="24"/>
      <c r="F331" s="382" t="s">
        <v>1084</v>
      </c>
      <c r="G331" t="s">
        <v>207</v>
      </c>
      <c r="J331" s="153">
        <f t="shared" ref="J331:AO331" si="144">SUM(J284:J285)</f>
        <v>0</v>
      </c>
      <c r="K331" s="153">
        <f t="shared" si="144"/>
        <v>0</v>
      </c>
      <c r="L331" s="153">
        <f t="shared" si="144"/>
        <v>0</v>
      </c>
      <c r="M331" s="153">
        <f t="shared" si="144"/>
        <v>0</v>
      </c>
      <c r="N331" s="153">
        <f t="shared" si="144"/>
        <v>0</v>
      </c>
      <c r="O331" s="153">
        <f t="shared" si="144"/>
        <v>0</v>
      </c>
      <c r="P331" s="153">
        <f t="shared" si="144"/>
        <v>0</v>
      </c>
      <c r="Q331" s="153">
        <f t="shared" si="144"/>
        <v>0</v>
      </c>
      <c r="R331" s="153">
        <f t="shared" si="144"/>
        <v>0</v>
      </c>
      <c r="S331" s="153">
        <f t="shared" si="144"/>
        <v>0</v>
      </c>
      <c r="T331" s="153">
        <f t="shared" si="144"/>
        <v>0</v>
      </c>
      <c r="U331" s="153">
        <f t="shared" si="144"/>
        <v>0</v>
      </c>
      <c r="V331" s="153">
        <f t="shared" si="144"/>
        <v>0</v>
      </c>
      <c r="W331" s="153">
        <f t="shared" si="144"/>
        <v>0</v>
      </c>
      <c r="X331" s="153">
        <f t="shared" si="144"/>
        <v>0</v>
      </c>
      <c r="Y331" s="153">
        <f t="shared" si="144"/>
        <v>0</v>
      </c>
      <c r="Z331" s="153">
        <f t="shared" si="144"/>
        <v>0</v>
      </c>
      <c r="AA331" s="153">
        <f t="shared" si="144"/>
        <v>0</v>
      </c>
      <c r="AB331" s="153">
        <f t="shared" si="144"/>
        <v>0</v>
      </c>
      <c r="AC331" s="153">
        <f t="shared" si="144"/>
        <v>0</v>
      </c>
      <c r="AD331" s="153">
        <f t="shared" si="144"/>
        <v>0</v>
      </c>
      <c r="AE331" s="153">
        <f t="shared" si="144"/>
        <v>0</v>
      </c>
      <c r="AF331" s="153">
        <f t="shared" si="144"/>
        <v>0</v>
      </c>
      <c r="AG331" s="153">
        <f t="shared" si="144"/>
        <v>0</v>
      </c>
      <c r="AH331" s="153">
        <f t="shared" si="144"/>
        <v>0</v>
      </c>
      <c r="AI331" s="153">
        <f t="shared" si="144"/>
        <v>0</v>
      </c>
      <c r="AJ331" s="153">
        <f t="shared" si="144"/>
        <v>0</v>
      </c>
      <c r="AK331" s="153">
        <f t="shared" si="144"/>
        <v>0</v>
      </c>
      <c r="AL331" s="153">
        <f t="shared" si="144"/>
        <v>0</v>
      </c>
      <c r="AM331" s="153">
        <f t="shared" si="144"/>
        <v>0</v>
      </c>
      <c r="AN331" s="153">
        <f t="shared" si="144"/>
        <v>0</v>
      </c>
      <c r="AO331" s="153">
        <f t="shared" si="144"/>
        <v>0</v>
      </c>
    </row>
    <row r="332" spans="3:44" x14ac:dyDescent="0.35">
      <c r="C332" s="24"/>
      <c r="F332" s="2"/>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row>
    <row r="333" spans="3:44" x14ac:dyDescent="0.35">
      <c r="C333" s="24"/>
      <c r="F333" t="s">
        <v>1023</v>
      </c>
      <c r="G333" t="s">
        <v>207</v>
      </c>
      <c r="J333" s="153">
        <f>SUMIF($J$150:$AO$150,J$150,$J331:$AO331)</f>
        <v>0</v>
      </c>
      <c r="K333" s="153">
        <f t="shared" ref="K333:AO333" si="145">SUMIF($J$150:$AO$150,K$150,$J331:$AO331)</f>
        <v>0</v>
      </c>
      <c r="L333" s="153">
        <f t="shared" si="145"/>
        <v>0</v>
      </c>
      <c r="M333" s="153">
        <f t="shared" si="145"/>
        <v>0</v>
      </c>
      <c r="N333" s="153">
        <f t="shared" si="145"/>
        <v>0</v>
      </c>
      <c r="O333" s="153">
        <f t="shared" si="145"/>
        <v>0</v>
      </c>
      <c r="P333" s="153">
        <f t="shared" si="145"/>
        <v>0</v>
      </c>
      <c r="Q333" s="153">
        <f t="shared" si="145"/>
        <v>0</v>
      </c>
      <c r="R333" s="153">
        <f t="shared" si="145"/>
        <v>0</v>
      </c>
      <c r="S333" s="153">
        <f t="shared" si="145"/>
        <v>0</v>
      </c>
      <c r="T333" s="153">
        <f t="shared" si="145"/>
        <v>0</v>
      </c>
      <c r="U333" s="153">
        <f t="shared" si="145"/>
        <v>0</v>
      </c>
      <c r="V333" s="153">
        <f t="shared" si="145"/>
        <v>0</v>
      </c>
      <c r="W333" s="153">
        <f t="shared" si="145"/>
        <v>0</v>
      </c>
      <c r="X333" s="153">
        <f t="shared" si="145"/>
        <v>0</v>
      </c>
      <c r="Y333" s="153">
        <f t="shared" si="145"/>
        <v>0</v>
      </c>
      <c r="Z333" s="153">
        <f t="shared" si="145"/>
        <v>0</v>
      </c>
      <c r="AA333" s="153">
        <f t="shared" si="145"/>
        <v>0</v>
      </c>
      <c r="AB333" s="153">
        <f t="shared" si="145"/>
        <v>0</v>
      </c>
      <c r="AC333" s="153">
        <f t="shared" si="145"/>
        <v>0</v>
      </c>
      <c r="AD333" s="153">
        <f t="shared" si="145"/>
        <v>0</v>
      </c>
      <c r="AE333" s="153">
        <f t="shared" si="145"/>
        <v>0</v>
      </c>
      <c r="AF333" s="153">
        <f t="shared" si="145"/>
        <v>0</v>
      </c>
      <c r="AG333" s="153">
        <f t="shared" si="145"/>
        <v>0</v>
      </c>
      <c r="AH333" s="153">
        <f t="shared" si="145"/>
        <v>0</v>
      </c>
      <c r="AI333" s="153">
        <f t="shared" si="145"/>
        <v>0</v>
      </c>
      <c r="AJ333" s="153">
        <f t="shared" si="145"/>
        <v>0</v>
      </c>
      <c r="AK333" s="153">
        <f t="shared" si="145"/>
        <v>0</v>
      </c>
      <c r="AL333" s="153">
        <f t="shared" si="145"/>
        <v>0</v>
      </c>
      <c r="AM333" s="153">
        <f t="shared" si="145"/>
        <v>0</v>
      </c>
      <c r="AN333" s="153">
        <f t="shared" si="145"/>
        <v>0</v>
      </c>
      <c r="AO333" s="153">
        <f t="shared" si="145"/>
        <v>0</v>
      </c>
    </row>
    <row r="334" spans="3:44" x14ac:dyDescent="0.35">
      <c r="C334" s="24"/>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row>
    <row r="335" spans="3:44" x14ac:dyDescent="0.35">
      <c r="C335" s="24"/>
      <c r="F335" t="s">
        <v>1025</v>
      </c>
      <c r="G335" t="s">
        <v>207</v>
      </c>
      <c r="J335" s="153">
        <f xml:space="preserve"> J333 * J$158</f>
        <v>0</v>
      </c>
      <c r="K335" s="153">
        <f t="shared" ref="K335:AO335" si="146" xml:space="preserve"> K333 * K$158</f>
        <v>0</v>
      </c>
      <c r="L335" s="153">
        <f t="shared" si="146"/>
        <v>0</v>
      </c>
      <c r="M335" s="153">
        <f t="shared" si="146"/>
        <v>0</v>
      </c>
      <c r="N335" s="153">
        <f t="shared" si="146"/>
        <v>0</v>
      </c>
      <c r="O335" s="153">
        <f t="shared" si="146"/>
        <v>0</v>
      </c>
      <c r="P335" s="153">
        <f t="shared" si="146"/>
        <v>0</v>
      </c>
      <c r="Q335" s="153">
        <f t="shared" si="146"/>
        <v>0</v>
      </c>
      <c r="R335" s="153">
        <f t="shared" si="146"/>
        <v>0</v>
      </c>
      <c r="S335" s="153">
        <f t="shared" si="146"/>
        <v>0</v>
      </c>
      <c r="T335" s="153">
        <f t="shared" si="146"/>
        <v>0</v>
      </c>
      <c r="U335" s="153">
        <f t="shared" si="146"/>
        <v>0</v>
      </c>
      <c r="V335" s="153">
        <f t="shared" si="146"/>
        <v>0</v>
      </c>
      <c r="W335" s="153">
        <f t="shared" si="146"/>
        <v>0</v>
      </c>
      <c r="X335" s="153">
        <f t="shared" si="146"/>
        <v>0</v>
      </c>
      <c r="Y335" s="153">
        <f t="shared" si="146"/>
        <v>0</v>
      </c>
      <c r="Z335" s="153">
        <f t="shared" si="146"/>
        <v>0</v>
      </c>
      <c r="AA335" s="153">
        <f t="shared" si="146"/>
        <v>0</v>
      </c>
      <c r="AB335" s="153">
        <f t="shared" si="146"/>
        <v>0</v>
      </c>
      <c r="AC335" s="153">
        <f t="shared" si="146"/>
        <v>0</v>
      </c>
      <c r="AD335" s="153">
        <f t="shared" si="146"/>
        <v>0</v>
      </c>
      <c r="AE335" s="153">
        <f t="shared" si="146"/>
        <v>0</v>
      </c>
      <c r="AF335" s="153">
        <f t="shared" si="146"/>
        <v>0</v>
      </c>
      <c r="AG335" s="153">
        <f t="shared" si="146"/>
        <v>0</v>
      </c>
      <c r="AH335" s="153">
        <f t="shared" si="146"/>
        <v>0</v>
      </c>
      <c r="AI335" s="153">
        <f t="shared" si="146"/>
        <v>0</v>
      </c>
      <c r="AJ335" s="153">
        <f t="shared" si="146"/>
        <v>0</v>
      </c>
      <c r="AK335" s="153">
        <f t="shared" si="146"/>
        <v>0</v>
      </c>
      <c r="AL335" s="153">
        <f t="shared" si="146"/>
        <v>0</v>
      </c>
      <c r="AM335" s="153">
        <f t="shared" si="146"/>
        <v>0</v>
      </c>
      <c r="AN335" s="153">
        <f t="shared" si="146"/>
        <v>0</v>
      </c>
      <c r="AO335" s="153">
        <f t="shared" si="146"/>
        <v>0</v>
      </c>
      <c r="AP335" s="13"/>
      <c r="AQ335" s="13"/>
      <c r="AR335" s="13"/>
    </row>
    <row r="336" spans="3:44" x14ac:dyDescent="0.35">
      <c r="C336" s="24"/>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row>
    <row r="337" spans="3:43" x14ac:dyDescent="0.35">
      <c r="C337" s="24"/>
      <c r="E337" s="382" t="s">
        <v>1085</v>
      </c>
      <c r="G337" t="s">
        <v>269</v>
      </c>
      <c r="J337" s="322">
        <f t="shared" ref="J337:AO337" si="147">IF( J335&lt;&gt;0, J328/J335, 0)*hundred/thousand</f>
        <v>0</v>
      </c>
      <c r="K337" s="322">
        <f t="shared" si="147"/>
        <v>0</v>
      </c>
      <c r="L337" s="322">
        <f t="shared" si="147"/>
        <v>0</v>
      </c>
      <c r="M337" s="322">
        <f t="shared" si="147"/>
        <v>0</v>
      </c>
      <c r="N337" s="322">
        <f t="shared" si="147"/>
        <v>0</v>
      </c>
      <c r="O337" s="322">
        <f t="shared" si="147"/>
        <v>0</v>
      </c>
      <c r="P337" s="322">
        <f t="shared" si="147"/>
        <v>0</v>
      </c>
      <c r="Q337" s="322">
        <f t="shared" si="147"/>
        <v>0</v>
      </c>
      <c r="R337" s="322">
        <f t="shared" si="147"/>
        <v>0</v>
      </c>
      <c r="S337" s="322">
        <f t="shared" si="147"/>
        <v>0</v>
      </c>
      <c r="T337" s="322">
        <f t="shared" si="147"/>
        <v>0</v>
      </c>
      <c r="U337" s="322">
        <f t="shared" si="147"/>
        <v>0</v>
      </c>
      <c r="V337" s="322">
        <f t="shared" si="147"/>
        <v>0</v>
      </c>
      <c r="W337" s="322">
        <f t="shared" si="147"/>
        <v>0</v>
      </c>
      <c r="X337" s="322">
        <f t="shared" si="147"/>
        <v>0</v>
      </c>
      <c r="Y337" s="322">
        <f t="shared" si="147"/>
        <v>0</v>
      </c>
      <c r="Z337" s="322">
        <f t="shared" si="147"/>
        <v>0</v>
      </c>
      <c r="AA337" s="322">
        <f t="shared" si="147"/>
        <v>0</v>
      </c>
      <c r="AB337" s="322">
        <f t="shared" si="147"/>
        <v>0</v>
      </c>
      <c r="AC337" s="322">
        <f t="shared" si="147"/>
        <v>0</v>
      </c>
      <c r="AD337" s="322">
        <f t="shared" si="147"/>
        <v>0</v>
      </c>
      <c r="AE337" s="322">
        <f t="shared" si="147"/>
        <v>0</v>
      </c>
      <c r="AF337" s="322">
        <f t="shared" si="147"/>
        <v>0</v>
      </c>
      <c r="AG337" s="322">
        <f t="shared" si="147"/>
        <v>0</v>
      </c>
      <c r="AH337" s="322">
        <f t="shared" si="147"/>
        <v>0</v>
      </c>
      <c r="AI337" s="322">
        <f t="shared" si="147"/>
        <v>0</v>
      </c>
      <c r="AJ337" s="322">
        <f t="shared" si="147"/>
        <v>0</v>
      </c>
      <c r="AK337" s="322">
        <f t="shared" si="147"/>
        <v>0</v>
      </c>
      <c r="AL337" s="322">
        <f t="shared" si="147"/>
        <v>0</v>
      </c>
      <c r="AM337" s="322">
        <f t="shared" si="147"/>
        <v>0</v>
      </c>
      <c r="AN337" s="322">
        <f t="shared" si="147"/>
        <v>0</v>
      </c>
      <c r="AO337" s="322">
        <f t="shared" si="147"/>
        <v>0</v>
      </c>
    </row>
    <row r="338" spans="3:43" x14ac:dyDescent="0.35">
      <c r="C338" s="24"/>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row>
    <row r="339" spans="3:43" x14ac:dyDescent="0.35">
      <c r="C339" s="24"/>
      <c r="E339" s="27" t="s">
        <v>1086</v>
      </c>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row>
    <row r="340" spans="3:43" x14ac:dyDescent="0.35">
      <c r="C340" s="24"/>
      <c r="F340" s="19" t="s">
        <v>1056</v>
      </c>
      <c r="G340" s="19" t="s">
        <v>907</v>
      </c>
      <c r="H340" s="19"/>
      <c r="I340" s="19"/>
      <c r="J340" s="390"/>
      <c r="K340" s="390"/>
      <c r="L340" s="390"/>
      <c r="M340" s="390"/>
      <c r="N340" s="390"/>
      <c r="O340" s="390"/>
      <c r="P340" s="390"/>
      <c r="Q340" s="390"/>
      <c r="R340" s="390"/>
      <c r="S340" s="390"/>
      <c r="T340" s="390"/>
      <c r="U340" s="390"/>
      <c r="V340" s="390"/>
      <c r="W340" s="390"/>
      <c r="X340" s="390"/>
      <c r="Y340" s="390"/>
      <c r="Z340" s="390"/>
      <c r="AA340" s="390"/>
      <c r="AB340" s="390"/>
      <c r="AC340" s="390"/>
      <c r="AD340" s="390"/>
      <c r="AE340" s="390"/>
      <c r="AF340" s="390"/>
      <c r="AG340" s="390"/>
      <c r="AH340" s="390"/>
      <c r="AI340" s="390"/>
      <c r="AJ340" s="390"/>
      <c r="AK340" s="390"/>
      <c r="AL340" s="390"/>
      <c r="AM340" s="390"/>
      <c r="AN340" s="390"/>
      <c r="AO340" s="390"/>
    </row>
    <row r="341" spans="3:43" x14ac:dyDescent="0.35">
      <c r="C341" s="24"/>
      <c r="F341" t="s">
        <v>1057</v>
      </c>
      <c r="G341" t="s">
        <v>907</v>
      </c>
      <c r="J341" s="13" t="b">
        <f t="shared" ref="J341:AO341" si="148">IF(J$32, -J264+J$337&gt;=0, TRUE)</f>
        <v>1</v>
      </c>
      <c r="K341" s="13" t="b">
        <f t="shared" si="148"/>
        <v>1</v>
      </c>
      <c r="L341" s="13" t="b">
        <f t="shared" si="148"/>
        <v>1</v>
      </c>
      <c r="M341" s="13" t="b">
        <f t="shared" si="148"/>
        <v>1</v>
      </c>
      <c r="N341" s="13" t="b">
        <f t="shared" si="148"/>
        <v>1</v>
      </c>
      <c r="O341" s="13" t="b">
        <f t="shared" si="148"/>
        <v>1</v>
      </c>
      <c r="P341" s="13" t="b">
        <f t="shared" si="148"/>
        <v>1</v>
      </c>
      <c r="Q341" s="13" t="b">
        <f t="shared" si="148"/>
        <v>1</v>
      </c>
      <c r="R341" s="13" t="b">
        <f t="shared" si="148"/>
        <v>1</v>
      </c>
      <c r="S341" s="13" t="b">
        <f t="shared" si="148"/>
        <v>1</v>
      </c>
      <c r="T341" s="13" t="b">
        <f t="shared" si="148"/>
        <v>1</v>
      </c>
      <c r="U341" s="13" t="b">
        <f t="shared" si="148"/>
        <v>1</v>
      </c>
      <c r="V341" s="13" t="b">
        <f t="shared" si="148"/>
        <v>1</v>
      </c>
      <c r="W341" s="13" t="b">
        <f t="shared" si="148"/>
        <v>1</v>
      </c>
      <c r="X341" s="13" t="b">
        <f t="shared" si="148"/>
        <v>1</v>
      </c>
      <c r="Y341" s="13" t="b">
        <f t="shared" si="148"/>
        <v>1</v>
      </c>
      <c r="Z341" s="13" t="b">
        <f t="shared" si="148"/>
        <v>1</v>
      </c>
      <c r="AA341" s="13" t="b">
        <f t="shared" si="148"/>
        <v>1</v>
      </c>
      <c r="AB341" s="13" t="b">
        <f t="shared" si="148"/>
        <v>1</v>
      </c>
      <c r="AC341" s="13" t="b">
        <f t="shared" si="148"/>
        <v>1</v>
      </c>
      <c r="AD341" s="13" t="b">
        <f t="shared" si="148"/>
        <v>1</v>
      </c>
      <c r="AE341" s="13" t="b">
        <f t="shared" si="148"/>
        <v>1</v>
      </c>
      <c r="AF341" s="13" t="b">
        <f t="shared" si="148"/>
        <v>1</v>
      </c>
      <c r="AG341" s="13" t="b">
        <f t="shared" si="148"/>
        <v>1</v>
      </c>
      <c r="AH341" s="13" t="b">
        <f t="shared" si="148"/>
        <v>1</v>
      </c>
      <c r="AI341" s="13" t="b">
        <f t="shared" si="148"/>
        <v>1</v>
      </c>
      <c r="AJ341" s="13" t="b">
        <f t="shared" si="148"/>
        <v>1</v>
      </c>
      <c r="AK341" s="13" t="b">
        <f t="shared" si="148"/>
        <v>1</v>
      </c>
      <c r="AL341" s="13" t="b">
        <f t="shared" si="148"/>
        <v>1</v>
      </c>
      <c r="AM341" s="13" t="b">
        <f t="shared" si="148"/>
        <v>1</v>
      </c>
      <c r="AN341" s="13" t="b">
        <f t="shared" si="148"/>
        <v>1</v>
      </c>
      <c r="AO341" s="13" t="b">
        <f t="shared" si="148"/>
        <v>1</v>
      </c>
    </row>
    <row r="342" spans="3:43" x14ac:dyDescent="0.35">
      <c r="C342" s="24"/>
      <c r="F342" s="28" t="s">
        <v>1058</v>
      </c>
      <c r="G342" s="28" t="s">
        <v>907</v>
      </c>
      <c r="H342" s="28"/>
      <c r="I342" s="28"/>
      <c r="J342" s="388" t="b">
        <f t="shared" ref="J342:AO342" si="149">IF(J$32, -J265+J$337&gt;=0, TRUE)</f>
        <v>1</v>
      </c>
      <c r="K342" s="388" t="b">
        <f t="shared" si="149"/>
        <v>1</v>
      </c>
      <c r="L342" s="388" t="b">
        <f t="shared" si="149"/>
        <v>1</v>
      </c>
      <c r="M342" s="388" t="b">
        <f t="shared" si="149"/>
        <v>1</v>
      </c>
      <c r="N342" s="388" t="b">
        <f t="shared" si="149"/>
        <v>1</v>
      </c>
      <c r="O342" s="388" t="b">
        <f t="shared" si="149"/>
        <v>1</v>
      </c>
      <c r="P342" s="388" t="b">
        <f t="shared" si="149"/>
        <v>1</v>
      </c>
      <c r="Q342" s="388" t="b">
        <f t="shared" si="149"/>
        <v>1</v>
      </c>
      <c r="R342" s="388" t="b">
        <f t="shared" si="149"/>
        <v>1</v>
      </c>
      <c r="S342" s="388" t="b">
        <f t="shared" si="149"/>
        <v>1</v>
      </c>
      <c r="T342" s="388" t="b">
        <f t="shared" si="149"/>
        <v>1</v>
      </c>
      <c r="U342" s="388" t="b">
        <f t="shared" si="149"/>
        <v>1</v>
      </c>
      <c r="V342" s="388" t="b">
        <f t="shared" si="149"/>
        <v>1</v>
      </c>
      <c r="W342" s="388" t="b">
        <f t="shared" si="149"/>
        <v>1</v>
      </c>
      <c r="X342" s="388" t="b">
        <f t="shared" si="149"/>
        <v>1</v>
      </c>
      <c r="Y342" s="388" t="b">
        <f t="shared" si="149"/>
        <v>1</v>
      </c>
      <c r="Z342" s="388" t="b">
        <f t="shared" si="149"/>
        <v>1</v>
      </c>
      <c r="AA342" s="388" t="b">
        <f t="shared" si="149"/>
        <v>1</v>
      </c>
      <c r="AB342" s="388" t="b">
        <f t="shared" si="149"/>
        <v>1</v>
      </c>
      <c r="AC342" s="388" t="b">
        <f t="shared" si="149"/>
        <v>1</v>
      </c>
      <c r="AD342" s="388" t="b">
        <f t="shared" si="149"/>
        <v>1</v>
      </c>
      <c r="AE342" s="388" t="b">
        <f t="shared" si="149"/>
        <v>1</v>
      </c>
      <c r="AF342" s="388" t="b">
        <f t="shared" si="149"/>
        <v>1</v>
      </c>
      <c r="AG342" s="388" t="b">
        <f t="shared" si="149"/>
        <v>1</v>
      </c>
      <c r="AH342" s="388" t="b">
        <f t="shared" si="149"/>
        <v>1</v>
      </c>
      <c r="AI342" s="388" t="b">
        <f t="shared" si="149"/>
        <v>1</v>
      </c>
      <c r="AJ342" s="388" t="b">
        <f t="shared" si="149"/>
        <v>1</v>
      </c>
      <c r="AK342" s="388" t="b">
        <f t="shared" si="149"/>
        <v>1</v>
      </c>
      <c r="AL342" s="388" t="b">
        <f t="shared" si="149"/>
        <v>1</v>
      </c>
      <c r="AM342" s="388" t="b">
        <f t="shared" si="149"/>
        <v>1</v>
      </c>
      <c r="AN342" s="388" t="b">
        <f t="shared" si="149"/>
        <v>1</v>
      </c>
      <c r="AO342" s="388" t="b">
        <f t="shared" si="149"/>
        <v>1</v>
      </c>
    </row>
    <row r="343" spans="3:43" x14ac:dyDescent="0.35">
      <c r="C343" s="24"/>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row>
    <row r="344" spans="3:43" x14ac:dyDescent="0.35">
      <c r="C344" s="24"/>
      <c r="E344" t="s">
        <v>1087</v>
      </c>
      <c r="G344" t="s">
        <v>907</v>
      </c>
      <c r="J344" s="13" t="b">
        <f>COUNTIF(J341:J342, TRUE) = 2</f>
        <v>1</v>
      </c>
      <c r="K344" s="13" t="b">
        <f t="shared" ref="K344:AO344" si="150">COUNTIF(K341:K342, TRUE) = 2</f>
        <v>1</v>
      </c>
      <c r="L344" s="13" t="b">
        <f t="shared" si="150"/>
        <v>1</v>
      </c>
      <c r="M344" s="13" t="b">
        <f t="shared" si="150"/>
        <v>1</v>
      </c>
      <c r="N344" s="13" t="b">
        <f t="shared" si="150"/>
        <v>1</v>
      </c>
      <c r="O344" s="13" t="b">
        <f t="shared" si="150"/>
        <v>1</v>
      </c>
      <c r="P344" s="13" t="b">
        <f t="shared" si="150"/>
        <v>1</v>
      </c>
      <c r="Q344" s="13" t="b">
        <f t="shared" si="150"/>
        <v>1</v>
      </c>
      <c r="R344" s="13" t="b">
        <f t="shared" si="150"/>
        <v>1</v>
      </c>
      <c r="S344" s="13" t="b">
        <f t="shared" si="150"/>
        <v>1</v>
      </c>
      <c r="T344" s="13" t="b">
        <f t="shared" si="150"/>
        <v>1</v>
      </c>
      <c r="U344" s="13" t="b">
        <f t="shared" si="150"/>
        <v>1</v>
      </c>
      <c r="V344" s="13" t="b">
        <f t="shared" si="150"/>
        <v>1</v>
      </c>
      <c r="W344" s="13" t="b">
        <f t="shared" si="150"/>
        <v>1</v>
      </c>
      <c r="X344" s="13" t="b">
        <f t="shared" si="150"/>
        <v>1</v>
      </c>
      <c r="Y344" s="13" t="b">
        <f t="shared" si="150"/>
        <v>1</v>
      </c>
      <c r="Z344" s="13" t="b">
        <f t="shared" si="150"/>
        <v>1</v>
      </c>
      <c r="AA344" s="13" t="b">
        <f t="shared" si="150"/>
        <v>1</v>
      </c>
      <c r="AB344" s="13" t="b">
        <f t="shared" si="150"/>
        <v>1</v>
      </c>
      <c r="AC344" s="13" t="b">
        <f t="shared" si="150"/>
        <v>1</v>
      </c>
      <c r="AD344" s="13" t="b">
        <f t="shared" si="150"/>
        <v>1</v>
      </c>
      <c r="AE344" s="13" t="b">
        <f t="shared" si="150"/>
        <v>1</v>
      </c>
      <c r="AF344" s="13" t="b">
        <f t="shared" si="150"/>
        <v>1</v>
      </c>
      <c r="AG344" s="13" t="b">
        <f t="shared" si="150"/>
        <v>1</v>
      </c>
      <c r="AH344" s="13" t="b">
        <f t="shared" si="150"/>
        <v>1</v>
      </c>
      <c r="AI344" s="13" t="b">
        <f t="shared" si="150"/>
        <v>1</v>
      </c>
      <c r="AJ344" s="13" t="b">
        <f t="shared" si="150"/>
        <v>1</v>
      </c>
      <c r="AK344" s="13" t="b">
        <f t="shared" si="150"/>
        <v>1</v>
      </c>
      <c r="AL344" s="13" t="b">
        <f t="shared" si="150"/>
        <v>1</v>
      </c>
      <c r="AM344" s="13" t="b">
        <f t="shared" si="150"/>
        <v>1</v>
      </c>
      <c r="AN344" s="13" t="b">
        <f t="shared" si="150"/>
        <v>1</v>
      </c>
      <c r="AO344" s="13" t="b">
        <f t="shared" si="150"/>
        <v>1</v>
      </c>
    </row>
    <row r="345" spans="3:43" x14ac:dyDescent="0.35">
      <c r="C345" s="24"/>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row>
    <row r="346" spans="3:43" x14ac:dyDescent="0.35">
      <c r="C346" s="26" t="str">
        <f ca="1">INDEX('Version control'!$H$38:$H$61,MATCH($A$1,'Version control'!$F$38:$F$61,0),1)&amp;"-M: Revenue matching for one timeband"</f>
        <v>Section 116-M: Revenue matching for one timeband</v>
      </c>
      <c r="D346" s="26"/>
      <c r="E346" s="26"/>
      <c r="F346" s="26"/>
      <c r="G346" s="26"/>
      <c r="H346" s="26"/>
      <c r="I346" s="26"/>
      <c r="J346" s="179"/>
      <c r="K346" s="179"/>
      <c r="L346" s="179"/>
      <c r="M346" s="179"/>
      <c r="N346" s="179"/>
      <c r="O346" s="179"/>
      <c r="P346" s="179"/>
      <c r="Q346" s="179"/>
      <c r="R346" s="179"/>
      <c r="S346" s="179"/>
      <c r="T346" s="179"/>
      <c r="U346" s="179"/>
      <c r="V346" s="179"/>
      <c r="W346" s="179"/>
      <c r="X346" s="179"/>
      <c r="Y346" s="179"/>
      <c r="Z346" s="179"/>
      <c r="AA346" s="179"/>
      <c r="AB346" s="179"/>
      <c r="AC346" s="179"/>
      <c r="AD346" s="179"/>
      <c r="AE346" s="179"/>
      <c r="AF346" s="179"/>
      <c r="AG346" s="179"/>
      <c r="AH346" s="179"/>
      <c r="AI346" s="179"/>
      <c r="AJ346" s="179"/>
      <c r="AK346" s="179"/>
      <c r="AL346" s="179"/>
      <c r="AM346" s="179"/>
      <c r="AN346" s="179"/>
      <c r="AO346" s="179"/>
      <c r="AP346" s="26"/>
      <c r="AQ346" s="26"/>
    </row>
    <row r="347" spans="3:43" x14ac:dyDescent="0.35">
      <c r="C347" s="24"/>
      <c r="E347" s="27"/>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row>
    <row r="348" spans="3:43" x14ac:dyDescent="0.35">
      <c r="C348" s="24"/>
      <c r="D348" s="24" t="s">
        <v>1145</v>
      </c>
      <c r="E348" s="27"/>
      <c r="I348" t="s">
        <v>154</v>
      </c>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Q348" t="s">
        <v>1123</v>
      </c>
    </row>
    <row r="349" spans="3:43" x14ac:dyDescent="0.35">
      <c r="C349" s="24"/>
      <c r="D349" s="24" t="s">
        <v>1088</v>
      </c>
      <c r="E349" s="27"/>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row>
    <row r="350" spans="3:43" x14ac:dyDescent="0.35">
      <c r="C350" s="24"/>
      <c r="D350" s="24" t="s">
        <v>1079</v>
      </c>
      <c r="E350" s="27"/>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row>
    <row r="351" spans="3:43" x14ac:dyDescent="0.35">
      <c r="C351" s="24"/>
      <c r="D351" s="24" t="s">
        <v>1080</v>
      </c>
      <c r="E351" s="27"/>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row>
    <row r="352" spans="3:43" x14ac:dyDescent="0.35">
      <c r="C352" s="24"/>
      <c r="E352" s="27"/>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row>
    <row r="353" spans="3:44" x14ac:dyDescent="0.35">
      <c r="C353" s="24"/>
      <c r="E353" s="27" t="s">
        <v>1089</v>
      </c>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row>
    <row r="354" spans="3:44" x14ac:dyDescent="0.35">
      <c r="C354" s="24"/>
      <c r="F354" s="20" t="s">
        <v>1090</v>
      </c>
      <c r="G354" t="s">
        <v>931</v>
      </c>
      <c r="J354" s="153">
        <f t="shared" ref="J354:AO354" si="151">SUMPRODUCT(J263:J264, J283:J284)*thousand/hundred</f>
        <v>0</v>
      </c>
      <c r="K354" s="153">
        <f t="shared" si="151"/>
        <v>0</v>
      </c>
      <c r="L354" s="153">
        <f t="shared" si="151"/>
        <v>0</v>
      </c>
      <c r="M354" s="153">
        <f t="shared" si="151"/>
        <v>0</v>
      </c>
      <c r="N354" s="153">
        <f t="shared" si="151"/>
        <v>0</v>
      </c>
      <c r="O354" s="153">
        <f t="shared" si="151"/>
        <v>0</v>
      </c>
      <c r="P354" s="153">
        <f t="shared" si="151"/>
        <v>0</v>
      </c>
      <c r="Q354" s="153">
        <f t="shared" si="151"/>
        <v>0</v>
      </c>
      <c r="R354" s="153">
        <f t="shared" si="151"/>
        <v>0</v>
      </c>
      <c r="S354" s="153">
        <f t="shared" si="151"/>
        <v>0</v>
      </c>
      <c r="T354" s="153">
        <f t="shared" si="151"/>
        <v>0</v>
      </c>
      <c r="U354" s="153">
        <f t="shared" si="151"/>
        <v>0</v>
      </c>
      <c r="V354" s="153">
        <f t="shared" si="151"/>
        <v>0</v>
      </c>
      <c r="W354" s="153">
        <f t="shared" si="151"/>
        <v>0</v>
      </c>
      <c r="X354" s="153">
        <f t="shared" si="151"/>
        <v>0</v>
      </c>
      <c r="Y354" s="153">
        <f t="shared" si="151"/>
        <v>0</v>
      </c>
      <c r="Z354" s="153">
        <f t="shared" si="151"/>
        <v>0</v>
      </c>
      <c r="AA354" s="153">
        <f t="shared" si="151"/>
        <v>0</v>
      </c>
      <c r="AB354" s="153">
        <f t="shared" si="151"/>
        <v>0</v>
      </c>
      <c r="AC354" s="153">
        <f t="shared" si="151"/>
        <v>0</v>
      </c>
      <c r="AD354" s="153">
        <f t="shared" si="151"/>
        <v>0</v>
      </c>
      <c r="AE354" s="153">
        <f t="shared" si="151"/>
        <v>0</v>
      </c>
      <c r="AF354" s="153">
        <f t="shared" si="151"/>
        <v>0</v>
      </c>
      <c r="AG354" s="153">
        <f t="shared" si="151"/>
        <v>0</v>
      </c>
      <c r="AH354" s="153">
        <f t="shared" si="151"/>
        <v>0</v>
      </c>
      <c r="AI354" s="153">
        <f t="shared" si="151"/>
        <v>0</v>
      </c>
      <c r="AJ354" s="153">
        <f t="shared" si="151"/>
        <v>0</v>
      </c>
      <c r="AK354" s="153">
        <f t="shared" si="151"/>
        <v>0</v>
      </c>
      <c r="AL354" s="153">
        <f t="shared" si="151"/>
        <v>0</v>
      </c>
      <c r="AM354" s="153">
        <f t="shared" si="151"/>
        <v>0</v>
      </c>
      <c r="AN354" s="153">
        <f t="shared" si="151"/>
        <v>0</v>
      </c>
      <c r="AO354" s="153">
        <f t="shared" si="151"/>
        <v>0</v>
      </c>
    </row>
    <row r="355" spans="3:44" x14ac:dyDescent="0.35">
      <c r="C355" s="24"/>
      <c r="F355" s="27"/>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row>
    <row r="356" spans="3:44" x14ac:dyDescent="0.35">
      <c r="C356" s="24"/>
      <c r="F356" s="389" t="s">
        <v>1083</v>
      </c>
      <c r="G356" t="s">
        <v>931</v>
      </c>
      <c r="J356" s="153">
        <f t="shared" ref="J356:AO356" si="152">J229 - J354</f>
        <v>0</v>
      </c>
      <c r="K356" s="153">
        <f t="shared" si="152"/>
        <v>0</v>
      </c>
      <c r="L356" s="153">
        <f t="shared" si="152"/>
        <v>0</v>
      </c>
      <c r="M356" s="153">
        <f t="shared" si="152"/>
        <v>0</v>
      </c>
      <c r="N356" s="153">
        <f t="shared" si="152"/>
        <v>0</v>
      </c>
      <c r="O356" s="153">
        <f t="shared" si="152"/>
        <v>0</v>
      </c>
      <c r="P356" s="153">
        <f t="shared" si="152"/>
        <v>0</v>
      </c>
      <c r="Q356" s="153">
        <f t="shared" si="152"/>
        <v>0</v>
      </c>
      <c r="R356" s="153">
        <f t="shared" si="152"/>
        <v>0</v>
      </c>
      <c r="S356" s="153">
        <f t="shared" si="152"/>
        <v>0</v>
      </c>
      <c r="T356" s="153">
        <f t="shared" si="152"/>
        <v>0</v>
      </c>
      <c r="U356" s="153">
        <f t="shared" si="152"/>
        <v>0</v>
      </c>
      <c r="V356" s="153">
        <f t="shared" si="152"/>
        <v>0</v>
      </c>
      <c r="W356" s="153">
        <f t="shared" si="152"/>
        <v>0</v>
      </c>
      <c r="X356" s="153">
        <f t="shared" si="152"/>
        <v>0</v>
      </c>
      <c r="Y356" s="153">
        <f t="shared" si="152"/>
        <v>0</v>
      </c>
      <c r="Z356" s="153">
        <f t="shared" si="152"/>
        <v>0</v>
      </c>
      <c r="AA356" s="153">
        <f t="shared" si="152"/>
        <v>0</v>
      </c>
      <c r="AB356" s="153">
        <f t="shared" si="152"/>
        <v>0</v>
      </c>
      <c r="AC356" s="153">
        <f t="shared" si="152"/>
        <v>0</v>
      </c>
      <c r="AD356" s="153">
        <f t="shared" si="152"/>
        <v>0</v>
      </c>
      <c r="AE356" s="153">
        <f t="shared" si="152"/>
        <v>0</v>
      </c>
      <c r="AF356" s="153">
        <f t="shared" si="152"/>
        <v>0</v>
      </c>
      <c r="AG356" s="153">
        <f t="shared" si="152"/>
        <v>0</v>
      </c>
      <c r="AH356" s="153">
        <f t="shared" si="152"/>
        <v>0</v>
      </c>
      <c r="AI356" s="153">
        <f t="shared" si="152"/>
        <v>0</v>
      </c>
      <c r="AJ356" s="153">
        <f t="shared" si="152"/>
        <v>0</v>
      </c>
      <c r="AK356" s="153">
        <f t="shared" si="152"/>
        <v>0</v>
      </c>
      <c r="AL356" s="153">
        <f t="shared" si="152"/>
        <v>0</v>
      </c>
      <c r="AM356" s="153">
        <f t="shared" si="152"/>
        <v>0</v>
      </c>
      <c r="AN356" s="153">
        <f t="shared" si="152"/>
        <v>0</v>
      </c>
      <c r="AO356" s="153">
        <f t="shared" si="152"/>
        <v>0</v>
      </c>
    </row>
    <row r="357" spans="3:44" x14ac:dyDescent="0.35">
      <c r="C357" s="24"/>
      <c r="F357" s="27"/>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row>
    <row r="358" spans="3:44" x14ac:dyDescent="0.35">
      <c r="C358" s="24"/>
      <c r="F358" t="s">
        <v>1072</v>
      </c>
      <c r="G358" t="s">
        <v>931</v>
      </c>
      <c r="J358" s="153">
        <f>SUMIF($J$150:$AO$150,J$150,$J356:$AO356)</f>
        <v>0</v>
      </c>
      <c r="K358" s="153">
        <f t="shared" ref="K358:AO358" si="153">SUMIF($J$150:$AO$150,K$150,$J356:$AO356)</f>
        <v>0</v>
      </c>
      <c r="L358" s="153">
        <f t="shared" si="153"/>
        <v>0</v>
      </c>
      <c r="M358" s="153">
        <f t="shared" si="153"/>
        <v>0</v>
      </c>
      <c r="N358" s="153">
        <f t="shared" si="153"/>
        <v>0</v>
      </c>
      <c r="O358" s="153">
        <f t="shared" si="153"/>
        <v>0</v>
      </c>
      <c r="P358" s="153">
        <f t="shared" si="153"/>
        <v>0</v>
      </c>
      <c r="Q358" s="153">
        <f t="shared" si="153"/>
        <v>0</v>
      </c>
      <c r="R358" s="153">
        <f t="shared" si="153"/>
        <v>0</v>
      </c>
      <c r="S358" s="153">
        <f t="shared" si="153"/>
        <v>0</v>
      </c>
      <c r="T358" s="153">
        <f t="shared" si="153"/>
        <v>0</v>
      </c>
      <c r="U358" s="153">
        <f t="shared" si="153"/>
        <v>0</v>
      </c>
      <c r="V358" s="153">
        <f t="shared" si="153"/>
        <v>0</v>
      </c>
      <c r="W358" s="153">
        <f t="shared" si="153"/>
        <v>0</v>
      </c>
      <c r="X358" s="153">
        <f t="shared" si="153"/>
        <v>0</v>
      </c>
      <c r="Y358" s="153">
        <f t="shared" si="153"/>
        <v>0</v>
      </c>
      <c r="Z358" s="153">
        <f t="shared" si="153"/>
        <v>0</v>
      </c>
      <c r="AA358" s="153">
        <f t="shared" si="153"/>
        <v>0</v>
      </c>
      <c r="AB358" s="153">
        <f t="shared" si="153"/>
        <v>0</v>
      </c>
      <c r="AC358" s="153">
        <f t="shared" si="153"/>
        <v>0</v>
      </c>
      <c r="AD358" s="153">
        <f t="shared" si="153"/>
        <v>0</v>
      </c>
      <c r="AE358" s="153">
        <f t="shared" si="153"/>
        <v>0</v>
      </c>
      <c r="AF358" s="153">
        <f t="shared" si="153"/>
        <v>0</v>
      </c>
      <c r="AG358" s="153">
        <f t="shared" si="153"/>
        <v>0</v>
      </c>
      <c r="AH358" s="153">
        <f t="shared" si="153"/>
        <v>0</v>
      </c>
      <c r="AI358" s="153">
        <f t="shared" si="153"/>
        <v>0</v>
      </c>
      <c r="AJ358" s="153">
        <f t="shared" si="153"/>
        <v>0</v>
      </c>
      <c r="AK358" s="153">
        <f t="shared" si="153"/>
        <v>0</v>
      </c>
      <c r="AL358" s="153">
        <f t="shared" si="153"/>
        <v>0</v>
      </c>
      <c r="AM358" s="153">
        <f t="shared" si="153"/>
        <v>0</v>
      </c>
      <c r="AN358" s="153">
        <f t="shared" si="153"/>
        <v>0</v>
      </c>
      <c r="AO358" s="153">
        <f t="shared" si="153"/>
        <v>0</v>
      </c>
    </row>
    <row r="359" spans="3:44" x14ac:dyDescent="0.35">
      <c r="C359" s="24"/>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row>
    <row r="360" spans="3:44" x14ac:dyDescent="0.35">
      <c r="C360" s="24"/>
      <c r="F360" t="s">
        <v>1073</v>
      </c>
      <c r="G360" t="s">
        <v>931</v>
      </c>
      <c r="J360" s="153">
        <f xml:space="preserve"> J358 * J$158</f>
        <v>0</v>
      </c>
      <c r="K360" s="153">
        <f t="shared" ref="K360:AO360" si="154" xml:space="preserve"> K358 * K$158</f>
        <v>0</v>
      </c>
      <c r="L360" s="153">
        <f t="shared" si="154"/>
        <v>0</v>
      </c>
      <c r="M360" s="153">
        <f t="shared" si="154"/>
        <v>0</v>
      </c>
      <c r="N360" s="153">
        <f t="shared" si="154"/>
        <v>0</v>
      </c>
      <c r="O360" s="153">
        <f t="shared" si="154"/>
        <v>0</v>
      </c>
      <c r="P360" s="153">
        <f t="shared" si="154"/>
        <v>0</v>
      </c>
      <c r="Q360" s="153">
        <f t="shared" si="154"/>
        <v>0</v>
      </c>
      <c r="R360" s="153">
        <f t="shared" si="154"/>
        <v>0</v>
      </c>
      <c r="S360" s="153">
        <f t="shared" si="154"/>
        <v>0</v>
      </c>
      <c r="T360" s="153">
        <f t="shared" si="154"/>
        <v>0</v>
      </c>
      <c r="U360" s="153">
        <f t="shared" si="154"/>
        <v>0</v>
      </c>
      <c r="V360" s="153">
        <f t="shared" si="154"/>
        <v>0</v>
      </c>
      <c r="W360" s="153">
        <f t="shared" si="154"/>
        <v>0</v>
      </c>
      <c r="X360" s="153">
        <f t="shared" si="154"/>
        <v>0</v>
      </c>
      <c r="Y360" s="153">
        <f t="shared" si="154"/>
        <v>0</v>
      </c>
      <c r="Z360" s="153">
        <f t="shared" si="154"/>
        <v>0</v>
      </c>
      <c r="AA360" s="153">
        <f t="shared" si="154"/>
        <v>0</v>
      </c>
      <c r="AB360" s="153">
        <f t="shared" si="154"/>
        <v>0</v>
      </c>
      <c r="AC360" s="153">
        <f t="shared" si="154"/>
        <v>0</v>
      </c>
      <c r="AD360" s="153">
        <f t="shared" si="154"/>
        <v>0</v>
      </c>
      <c r="AE360" s="153">
        <f t="shared" si="154"/>
        <v>0</v>
      </c>
      <c r="AF360" s="153">
        <f t="shared" si="154"/>
        <v>0</v>
      </c>
      <c r="AG360" s="153">
        <f t="shared" si="154"/>
        <v>0</v>
      </c>
      <c r="AH360" s="153">
        <f t="shared" si="154"/>
        <v>0</v>
      </c>
      <c r="AI360" s="153">
        <f t="shared" si="154"/>
        <v>0</v>
      </c>
      <c r="AJ360" s="153">
        <f t="shared" si="154"/>
        <v>0</v>
      </c>
      <c r="AK360" s="153">
        <f t="shared" si="154"/>
        <v>0</v>
      </c>
      <c r="AL360" s="153">
        <f t="shared" si="154"/>
        <v>0</v>
      </c>
      <c r="AM360" s="153">
        <f t="shared" si="154"/>
        <v>0</v>
      </c>
      <c r="AN360" s="153">
        <f t="shared" si="154"/>
        <v>0</v>
      </c>
      <c r="AO360" s="153">
        <f t="shared" si="154"/>
        <v>0</v>
      </c>
    </row>
    <row r="361" spans="3:44" x14ac:dyDescent="0.35">
      <c r="C361" s="24"/>
      <c r="F361" s="2"/>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row>
    <row r="362" spans="3:44" x14ac:dyDescent="0.35">
      <c r="C362" s="24"/>
      <c r="E362" s="27" t="s">
        <v>1021</v>
      </c>
      <c r="F362" s="2"/>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row>
    <row r="363" spans="3:44" x14ac:dyDescent="0.35">
      <c r="C363" s="24"/>
      <c r="F363" s="382" t="s">
        <v>1084</v>
      </c>
      <c r="G363" t="s">
        <v>207</v>
      </c>
      <c r="J363" s="153">
        <f t="shared" ref="J363:AO363" si="155">J285</f>
        <v>0</v>
      </c>
      <c r="K363" s="153">
        <f t="shared" si="155"/>
        <v>0</v>
      </c>
      <c r="L363" s="153">
        <f t="shared" si="155"/>
        <v>0</v>
      </c>
      <c r="M363" s="153">
        <f t="shared" si="155"/>
        <v>0</v>
      </c>
      <c r="N363" s="153">
        <f t="shared" si="155"/>
        <v>0</v>
      </c>
      <c r="O363" s="153">
        <f t="shared" si="155"/>
        <v>0</v>
      </c>
      <c r="P363" s="153">
        <f t="shared" si="155"/>
        <v>0</v>
      </c>
      <c r="Q363" s="153">
        <f t="shared" si="155"/>
        <v>0</v>
      </c>
      <c r="R363" s="153">
        <f t="shared" si="155"/>
        <v>0</v>
      </c>
      <c r="S363" s="153">
        <f t="shared" si="155"/>
        <v>0</v>
      </c>
      <c r="T363" s="153">
        <f t="shared" si="155"/>
        <v>0</v>
      </c>
      <c r="U363" s="153">
        <f t="shared" si="155"/>
        <v>0</v>
      </c>
      <c r="V363" s="153">
        <f t="shared" si="155"/>
        <v>0</v>
      </c>
      <c r="W363" s="153">
        <f t="shared" si="155"/>
        <v>0</v>
      </c>
      <c r="X363" s="153">
        <f t="shared" si="155"/>
        <v>0</v>
      </c>
      <c r="Y363" s="153">
        <f t="shared" si="155"/>
        <v>0</v>
      </c>
      <c r="Z363" s="153">
        <f t="shared" si="155"/>
        <v>0</v>
      </c>
      <c r="AA363" s="153">
        <f t="shared" si="155"/>
        <v>0</v>
      </c>
      <c r="AB363" s="153">
        <f t="shared" si="155"/>
        <v>0</v>
      </c>
      <c r="AC363" s="153">
        <f t="shared" si="155"/>
        <v>0</v>
      </c>
      <c r="AD363" s="153">
        <f t="shared" si="155"/>
        <v>0</v>
      </c>
      <c r="AE363" s="153">
        <f t="shared" si="155"/>
        <v>0</v>
      </c>
      <c r="AF363" s="153">
        <f t="shared" si="155"/>
        <v>0</v>
      </c>
      <c r="AG363" s="153">
        <f t="shared" si="155"/>
        <v>0</v>
      </c>
      <c r="AH363" s="153">
        <f t="shared" si="155"/>
        <v>0</v>
      </c>
      <c r="AI363" s="153">
        <f t="shared" si="155"/>
        <v>0</v>
      </c>
      <c r="AJ363" s="153">
        <f t="shared" si="155"/>
        <v>0</v>
      </c>
      <c r="AK363" s="153">
        <f t="shared" si="155"/>
        <v>0</v>
      </c>
      <c r="AL363" s="153">
        <f t="shared" si="155"/>
        <v>0</v>
      </c>
      <c r="AM363" s="153">
        <f t="shared" si="155"/>
        <v>0</v>
      </c>
      <c r="AN363" s="153">
        <f t="shared" si="155"/>
        <v>0</v>
      </c>
      <c r="AO363" s="153">
        <f t="shared" si="155"/>
        <v>0</v>
      </c>
    </row>
    <row r="364" spans="3:44" x14ac:dyDescent="0.35">
      <c r="C364" s="24"/>
      <c r="F364" s="2"/>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row>
    <row r="365" spans="3:44" x14ac:dyDescent="0.35">
      <c r="C365" s="24"/>
      <c r="F365" t="s">
        <v>1023</v>
      </c>
      <c r="G365" t="s">
        <v>207</v>
      </c>
      <c r="J365" s="153">
        <f>SUMIF($J$150:$AO$150,J$150,$J363:$AO363)</f>
        <v>0</v>
      </c>
      <c r="K365" s="153">
        <f t="shared" ref="K365:AO365" si="156">SUMIF($J$150:$AO$150,K$150,$J363:$AO363)</f>
        <v>0</v>
      </c>
      <c r="L365" s="153">
        <f t="shared" si="156"/>
        <v>0</v>
      </c>
      <c r="M365" s="153">
        <f t="shared" si="156"/>
        <v>0</v>
      </c>
      <c r="N365" s="153">
        <f t="shared" si="156"/>
        <v>0</v>
      </c>
      <c r="O365" s="153">
        <f t="shared" si="156"/>
        <v>0</v>
      </c>
      <c r="P365" s="153">
        <f t="shared" si="156"/>
        <v>0</v>
      </c>
      <c r="Q365" s="153">
        <f t="shared" si="156"/>
        <v>0</v>
      </c>
      <c r="R365" s="153">
        <f t="shared" si="156"/>
        <v>0</v>
      </c>
      <c r="S365" s="153">
        <f t="shared" si="156"/>
        <v>0</v>
      </c>
      <c r="T365" s="153">
        <f t="shared" si="156"/>
        <v>0</v>
      </c>
      <c r="U365" s="153">
        <f t="shared" si="156"/>
        <v>0</v>
      </c>
      <c r="V365" s="153">
        <f t="shared" si="156"/>
        <v>0</v>
      </c>
      <c r="W365" s="153">
        <f t="shared" si="156"/>
        <v>0</v>
      </c>
      <c r="X365" s="153">
        <f t="shared" si="156"/>
        <v>0</v>
      </c>
      <c r="Y365" s="153">
        <f t="shared" si="156"/>
        <v>0</v>
      </c>
      <c r="Z365" s="153">
        <f t="shared" si="156"/>
        <v>0</v>
      </c>
      <c r="AA365" s="153">
        <f t="shared" si="156"/>
        <v>0</v>
      </c>
      <c r="AB365" s="153">
        <f t="shared" si="156"/>
        <v>0</v>
      </c>
      <c r="AC365" s="153">
        <f t="shared" si="156"/>
        <v>0</v>
      </c>
      <c r="AD365" s="153">
        <f t="shared" si="156"/>
        <v>0</v>
      </c>
      <c r="AE365" s="153">
        <f t="shared" si="156"/>
        <v>0</v>
      </c>
      <c r="AF365" s="153">
        <f t="shared" si="156"/>
        <v>0</v>
      </c>
      <c r="AG365" s="153">
        <f t="shared" si="156"/>
        <v>0</v>
      </c>
      <c r="AH365" s="153">
        <f t="shared" si="156"/>
        <v>0</v>
      </c>
      <c r="AI365" s="153">
        <f t="shared" si="156"/>
        <v>0</v>
      </c>
      <c r="AJ365" s="153">
        <f t="shared" si="156"/>
        <v>0</v>
      </c>
      <c r="AK365" s="153">
        <f t="shared" si="156"/>
        <v>0</v>
      </c>
      <c r="AL365" s="153">
        <f t="shared" si="156"/>
        <v>0</v>
      </c>
      <c r="AM365" s="153">
        <f t="shared" si="156"/>
        <v>0</v>
      </c>
      <c r="AN365" s="153">
        <f t="shared" si="156"/>
        <v>0</v>
      </c>
      <c r="AO365" s="153">
        <f t="shared" si="156"/>
        <v>0</v>
      </c>
    </row>
    <row r="366" spans="3:44" x14ac:dyDescent="0.35">
      <c r="C366" s="24"/>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row>
    <row r="367" spans="3:44" x14ac:dyDescent="0.35">
      <c r="C367" s="24"/>
      <c r="F367" t="s">
        <v>1025</v>
      </c>
      <c r="G367" t="s">
        <v>207</v>
      </c>
      <c r="J367" s="153">
        <f xml:space="preserve"> J365 * J$158</f>
        <v>0</v>
      </c>
      <c r="K367" s="153">
        <f t="shared" ref="K367:AO367" si="157" xml:space="preserve"> K365 * K$158</f>
        <v>0</v>
      </c>
      <c r="L367" s="153">
        <f t="shared" si="157"/>
        <v>0</v>
      </c>
      <c r="M367" s="153">
        <f t="shared" si="157"/>
        <v>0</v>
      </c>
      <c r="N367" s="153">
        <f t="shared" si="157"/>
        <v>0</v>
      </c>
      <c r="O367" s="153">
        <f t="shared" si="157"/>
        <v>0</v>
      </c>
      <c r="P367" s="153">
        <f t="shared" si="157"/>
        <v>0</v>
      </c>
      <c r="Q367" s="153">
        <f t="shared" si="157"/>
        <v>0</v>
      </c>
      <c r="R367" s="153">
        <f t="shared" si="157"/>
        <v>0</v>
      </c>
      <c r="S367" s="153">
        <f t="shared" si="157"/>
        <v>0</v>
      </c>
      <c r="T367" s="153">
        <f t="shared" si="157"/>
        <v>0</v>
      </c>
      <c r="U367" s="153">
        <f t="shared" si="157"/>
        <v>0</v>
      </c>
      <c r="V367" s="153">
        <f t="shared" si="157"/>
        <v>0</v>
      </c>
      <c r="W367" s="153">
        <f t="shared" si="157"/>
        <v>0</v>
      </c>
      <c r="X367" s="153">
        <f t="shared" si="157"/>
        <v>0</v>
      </c>
      <c r="Y367" s="153">
        <f t="shared" si="157"/>
        <v>0</v>
      </c>
      <c r="Z367" s="153">
        <f t="shared" si="157"/>
        <v>0</v>
      </c>
      <c r="AA367" s="153">
        <f t="shared" si="157"/>
        <v>0</v>
      </c>
      <c r="AB367" s="153">
        <f t="shared" si="157"/>
        <v>0</v>
      </c>
      <c r="AC367" s="153">
        <f t="shared" si="157"/>
        <v>0</v>
      </c>
      <c r="AD367" s="153">
        <f t="shared" si="157"/>
        <v>0</v>
      </c>
      <c r="AE367" s="153">
        <f t="shared" si="157"/>
        <v>0</v>
      </c>
      <c r="AF367" s="153">
        <f t="shared" si="157"/>
        <v>0</v>
      </c>
      <c r="AG367" s="153">
        <f t="shared" si="157"/>
        <v>0</v>
      </c>
      <c r="AH367" s="153">
        <f t="shared" si="157"/>
        <v>0</v>
      </c>
      <c r="AI367" s="153">
        <f t="shared" si="157"/>
        <v>0</v>
      </c>
      <c r="AJ367" s="153">
        <f t="shared" si="157"/>
        <v>0</v>
      </c>
      <c r="AK367" s="153">
        <f t="shared" si="157"/>
        <v>0</v>
      </c>
      <c r="AL367" s="153">
        <f t="shared" si="157"/>
        <v>0</v>
      </c>
      <c r="AM367" s="153">
        <f t="shared" si="157"/>
        <v>0</v>
      </c>
      <c r="AN367" s="153">
        <f t="shared" si="157"/>
        <v>0</v>
      </c>
      <c r="AO367" s="153">
        <f t="shared" si="157"/>
        <v>0</v>
      </c>
      <c r="AP367" s="13"/>
      <c r="AQ367" s="13"/>
      <c r="AR367" s="13"/>
    </row>
    <row r="368" spans="3:44" x14ac:dyDescent="0.35">
      <c r="C368" s="24"/>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row>
    <row r="369" spans="3:43" x14ac:dyDescent="0.35">
      <c r="C369" s="24"/>
      <c r="E369" s="23" t="s">
        <v>1091</v>
      </c>
      <c r="G369" t="s">
        <v>269</v>
      </c>
      <c r="J369" s="322">
        <f t="shared" ref="J369:AO369" si="158">IF( J367&lt;&gt;0, J360/J367, 0)*hundred/thousand</f>
        <v>0</v>
      </c>
      <c r="K369" s="322">
        <f t="shared" si="158"/>
        <v>0</v>
      </c>
      <c r="L369" s="322">
        <f t="shared" si="158"/>
        <v>0</v>
      </c>
      <c r="M369" s="322">
        <f t="shared" si="158"/>
        <v>0</v>
      </c>
      <c r="N369" s="322">
        <f t="shared" si="158"/>
        <v>0</v>
      </c>
      <c r="O369" s="322">
        <f t="shared" si="158"/>
        <v>0</v>
      </c>
      <c r="P369" s="322">
        <f t="shared" si="158"/>
        <v>0</v>
      </c>
      <c r="Q369" s="322">
        <f t="shared" si="158"/>
        <v>0</v>
      </c>
      <c r="R369" s="322">
        <f t="shared" si="158"/>
        <v>0</v>
      </c>
      <c r="S369" s="322">
        <f t="shared" si="158"/>
        <v>0</v>
      </c>
      <c r="T369" s="322">
        <f t="shared" si="158"/>
        <v>0</v>
      </c>
      <c r="U369" s="322">
        <f t="shared" si="158"/>
        <v>0</v>
      </c>
      <c r="V369" s="322">
        <f t="shared" si="158"/>
        <v>0</v>
      </c>
      <c r="W369" s="322">
        <f t="shared" si="158"/>
        <v>0</v>
      </c>
      <c r="X369" s="322">
        <f t="shared" si="158"/>
        <v>0</v>
      </c>
      <c r="Y369" s="322">
        <f t="shared" si="158"/>
        <v>0</v>
      </c>
      <c r="Z369" s="322">
        <f t="shared" si="158"/>
        <v>0</v>
      </c>
      <c r="AA369" s="322">
        <f t="shared" si="158"/>
        <v>0</v>
      </c>
      <c r="AB369" s="322">
        <f t="shared" si="158"/>
        <v>0</v>
      </c>
      <c r="AC369" s="322">
        <f t="shared" si="158"/>
        <v>0</v>
      </c>
      <c r="AD369" s="322">
        <f t="shared" si="158"/>
        <v>0</v>
      </c>
      <c r="AE369" s="322">
        <f t="shared" si="158"/>
        <v>0</v>
      </c>
      <c r="AF369" s="322">
        <f t="shared" si="158"/>
        <v>0</v>
      </c>
      <c r="AG369" s="322">
        <f t="shared" si="158"/>
        <v>0</v>
      </c>
      <c r="AH369" s="322">
        <f t="shared" si="158"/>
        <v>0</v>
      </c>
      <c r="AI369" s="322">
        <f t="shared" si="158"/>
        <v>0</v>
      </c>
      <c r="AJ369" s="322">
        <f t="shared" si="158"/>
        <v>0</v>
      </c>
      <c r="AK369" s="322">
        <f t="shared" si="158"/>
        <v>0</v>
      </c>
      <c r="AL369" s="322">
        <f t="shared" si="158"/>
        <v>0</v>
      </c>
      <c r="AM369" s="322">
        <f t="shared" si="158"/>
        <v>0</v>
      </c>
      <c r="AN369" s="322">
        <f t="shared" si="158"/>
        <v>0</v>
      </c>
      <c r="AO369" s="322">
        <f t="shared" si="158"/>
        <v>0</v>
      </c>
    </row>
    <row r="370" spans="3:43" x14ac:dyDescent="0.35">
      <c r="C370" s="24"/>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row>
    <row r="371" spans="3:43" x14ac:dyDescent="0.35">
      <c r="C371" s="24"/>
      <c r="E371" s="27" t="s">
        <v>1092</v>
      </c>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row>
    <row r="372" spans="3:43" x14ac:dyDescent="0.35">
      <c r="C372" s="24"/>
      <c r="F372" s="19" t="s">
        <v>1056</v>
      </c>
      <c r="G372" s="19" t="s">
        <v>907</v>
      </c>
      <c r="H372" s="19"/>
      <c r="I372" s="19"/>
      <c r="J372" s="390"/>
      <c r="K372" s="390"/>
      <c r="L372" s="390"/>
      <c r="M372" s="390"/>
      <c r="N372" s="390"/>
      <c r="O372" s="390"/>
      <c r="P372" s="390"/>
      <c r="Q372" s="390"/>
      <c r="R372" s="390"/>
      <c r="S372" s="390"/>
      <c r="T372" s="390"/>
      <c r="U372" s="390"/>
      <c r="V372" s="390"/>
      <c r="W372" s="390"/>
      <c r="X372" s="390"/>
      <c r="Y372" s="390"/>
      <c r="Z372" s="390"/>
      <c r="AA372" s="390"/>
      <c r="AB372" s="390"/>
      <c r="AC372" s="390"/>
      <c r="AD372" s="390"/>
      <c r="AE372" s="390"/>
      <c r="AF372" s="390"/>
      <c r="AG372" s="390"/>
      <c r="AH372" s="390"/>
      <c r="AI372" s="390"/>
      <c r="AJ372" s="390"/>
      <c r="AK372" s="390"/>
      <c r="AL372" s="390"/>
      <c r="AM372" s="390"/>
      <c r="AN372" s="390"/>
      <c r="AO372" s="390"/>
    </row>
    <row r="373" spans="3:43" x14ac:dyDescent="0.35">
      <c r="C373" s="24"/>
      <c r="F373" t="s">
        <v>1057</v>
      </c>
      <c r="G373" t="s">
        <v>907</v>
      </c>
      <c r="J373" s="391"/>
      <c r="K373" s="391"/>
      <c r="L373" s="391"/>
      <c r="M373" s="391"/>
      <c r="N373" s="391"/>
      <c r="O373" s="391"/>
      <c r="P373" s="391"/>
      <c r="Q373" s="391"/>
      <c r="R373" s="391"/>
      <c r="S373" s="391"/>
      <c r="T373" s="391"/>
      <c r="U373" s="391"/>
      <c r="V373" s="391"/>
      <c r="W373" s="391"/>
      <c r="X373" s="391"/>
      <c r="Y373" s="391"/>
      <c r="Z373" s="391"/>
      <c r="AA373" s="391"/>
      <c r="AB373" s="391"/>
      <c r="AC373" s="391"/>
      <c r="AD373" s="391"/>
      <c r="AE373" s="391"/>
      <c r="AF373" s="391"/>
      <c r="AG373" s="391"/>
      <c r="AH373" s="391"/>
      <c r="AI373" s="391"/>
      <c r="AJ373" s="391"/>
      <c r="AK373" s="391"/>
      <c r="AL373" s="391"/>
      <c r="AM373" s="391"/>
      <c r="AN373" s="391"/>
      <c r="AO373" s="391"/>
    </row>
    <row r="374" spans="3:43" x14ac:dyDescent="0.35">
      <c r="C374" s="24"/>
      <c r="F374" s="28" t="s">
        <v>1058</v>
      </c>
      <c r="G374" s="28" t="s">
        <v>907</v>
      </c>
      <c r="H374" s="28"/>
      <c r="I374" s="28"/>
      <c r="J374" s="388" t="b">
        <f t="shared" ref="J374:AO374" si="159">IF(J$32, -J265+J$369&gt;=0, TRUE)</f>
        <v>1</v>
      </c>
      <c r="K374" s="388" t="b">
        <f t="shared" si="159"/>
        <v>1</v>
      </c>
      <c r="L374" s="388" t="b">
        <f t="shared" si="159"/>
        <v>1</v>
      </c>
      <c r="M374" s="388" t="b">
        <f t="shared" si="159"/>
        <v>1</v>
      </c>
      <c r="N374" s="388" t="b">
        <f t="shared" si="159"/>
        <v>1</v>
      </c>
      <c r="O374" s="388" t="b">
        <f t="shared" si="159"/>
        <v>1</v>
      </c>
      <c r="P374" s="388" t="b">
        <f t="shared" si="159"/>
        <v>1</v>
      </c>
      <c r="Q374" s="388" t="b">
        <f t="shared" si="159"/>
        <v>1</v>
      </c>
      <c r="R374" s="388" t="b">
        <f t="shared" si="159"/>
        <v>1</v>
      </c>
      <c r="S374" s="388" t="b">
        <f t="shared" si="159"/>
        <v>1</v>
      </c>
      <c r="T374" s="388" t="b">
        <f t="shared" si="159"/>
        <v>1</v>
      </c>
      <c r="U374" s="388" t="b">
        <f t="shared" si="159"/>
        <v>1</v>
      </c>
      <c r="V374" s="388" t="b">
        <f t="shared" si="159"/>
        <v>1</v>
      </c>
      <c r="W374" s="388" t="b">
        <f t="shared" si="159"/>
        <v>1</v>
      </c>
      <c r="X374" s="388" t="b">
        <f t="shared" si="159"/>
        <v>1</v>
      </c>
      <c r="Y374" s="388" t="b">
        <f t="shared" si="159"/>
        <v>1</v>
      </c>
      <c r="Z374" s="388" t="b">
        <f t="shared" si="159"/>
        <v>1</v>
      </c>
      <c r="AA374" s="388" t="b">
        <f t="shared" si="159"/>
        <v>1</v>
      </c>
      <c r="AB374" s="388" t="b">
        <f t="shared" si="159"/>
        <v>1</v>
      </c>
      <c r="AC374" s="388" t="b">
        <f t="shared" si="159"/>
        <v>1</v>
      </c>
      <c r="AD374" s="388" t="b">
        <f t="shared" si="159"/>
        <v>1</v>
      </c>
      <c r="AE374" s="388" t="b">
        <f t="shared" si="159"/>
        <v>1</v>
      </c>
      <c r="AF374" s="388" t="b">
        <f t="shared" si="159"/>
        <v>1</v>
      </c>
      <c r="AG374" s="388" t="b">
        <f t="shared" si="159"/>
        <v>1</v>
      </c>
      <c r="AH374" s="388" t="b">
        <f t="shared" si="159"/>
        <v>1</v>
      </c>
      <c r="AI374" s="388" t="b">
        <f t="shared" si="159"/>
        <v>1</v>
      </c>
      <c r="AJ374" s="388" t="b">
        <f t="shared" si="159"/>
        <v>1</v>
      </c>
      <c r="AK374" s="388" t="b">
        <f t="shared" si="159"/>
        <v>1</v>
      </c>
      <c r="AL374" s="388" t="b">
        <f t="shared" si="159"/>
        <v>1</v>
      </c>
      <c r="AM374" s="388" t="b">
        <f t="shared" si="159"/>
        <v>1</v>
      </c>
      <c r="AN374" s="388" t="b">
        <f t="shared" si="159"/>
        <v>1</v>
      </c>
      <c r="AO374" s="388" t="b">
        <f t="shared" si="159"/>
        <v>1</v>
      </c>
    </row>
    <row r="375" spans="3:43" x14ac:dyDescent="0.35">
      <c r="C375" s="24"/>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row>
    <row r="376" spans="3:43" x14ac:dyDescent="0.35">
      <c r="C376" s="24"/>
      <c r="E376" t="s">
        <v>1093</v>
      </c>
      <c r="G376" t="s">
        <v>907</v>
      </c>
      <c r="J376" s="13" t="b">
        <f>J374</f>
        <v>1</v>
      </c>
      <c r="K376" s="13" t="b">
        <f t="shared" ref="K376:AO376" si="160">K374</f>
        <v>1</v>
      </c>
      <c r="L376" s="13" t="b">
        <f t="shared" si="160"/>
        <v>1</v>
      </c>
      <c r="M376" s="13" t="b">
        <f t="shared" si="160"/>
        <v>1</v>
      </c>
      <c r="N376" s="13" t="b">
        <f t="shared" si="160"/>
        <v>1</v>
      </c>
      <c r="O376" s="13" t="b">
        <f t="shared" si="160"/>
        <v>1</v>
      </c>
      <c r="P376" s="13" t="b">
        <f t="shared" si="160"/>
        <v>1</v>
      </c>
      <c r="Q376" s="13" t="b">
        <f t="shared" si="160"/>
        <v>1</v>
      </c>
      <c r="R376" s="13" t="b">
        <f t="shared" si="160"/>
        <v>1</v>
      </c>
      <c r="S376" s="13" t="b">
        <f t="shared" si="160"/>
        <v>1</v>
      </c>
      <c r="T376" s="13" t="b">
        <f t="shared" si="160"/>
        <v>1</v>
      </c>
      <c r="U376" s="13" t="b">
        <f t="shared" si="160"/>
        <v>1</v>
      </c>
      <c r="V376" s="13" t="b">
        <f t="shared" si="160"/>
        <v>1</v>
      </c>
      <c r="W376" s="13" t="b">
        <f t="shared" si="160"/>
        <v>1</v>
      </c>
      <c r="X376" s="13" t="b">
        <f t="shared" si="160"/>
        <v>1</v>
      </c>
      <c r="Y376" s="13" t="b">
        <f t="shared" si="160"/>
        <v>1</v>
      </c>
      <c r="Z376" s="13" t="b">
        <f t="shared" si="160"/>
        <v>1</v>
      </c>
      <c r="AA376" s="13" t="b">
        <f t="shared" si="160"/>
        <v>1</v>
      </c>
      <c r="AB376" s="13" t="b">
        <f t="shared" si="160"/>
        <v>1</v>
      </c>
      <c r="AC376" s="13" t="b">
        <f t="shared" si="160"/>
        <v>1</v>
      </c>
      <c r="AD376" s="13" t="b">
        <f t="shared" si="160"/>
        <v>1</v>
      </c>
      <c r="AE376" s="13" t="b">
        <f t="shared" si="160"/>
        <v>1</v>
      </c>
      <c r="AF376" s="13" t="b">
        <f t="shared" si="160"/>
        <v>1</v>
      </c>
      <c r="AG376" s="13" t="b">
        <f t="shared" si="160"/>
        <v>1</v>
      </c>
      <c r="AH376" s="13" t="b">
        <f t="shared" si="160"/>
        <v>1</v>
      </c>
      <c r="AI376" s="13" t="b">
        <f t="shared" si="160"/>
        <v>1</v>
      </c>
      <c r="AJ376" s="13" t="b">
        <f t="shared" si="160"/>
        <v>1</v>
      </c>
      <c r="AK376" s="13" t="b">
        <f t="shared" si="160"/>
        <v>1</v>
      </c>
      <c r="AL376" s="13" t="b">
        <f t="shared" si="160"/>
        <v>1</v>
      </c>
      <c r="AM376" s="13" t="b">
        <f t="shared" si="160"/>
        <v>1</v>
      </c>
      <c r="AN376" s="13" t="b">
        <f t="shared" si="160"/>
        <v>1</v>
      </c>
      <c r="AO376" s="13" t="b">
        <f t="shared" si="160"/>
        <v>1</v>
      </c>
    </row>
    <row r="377" spans="3:43" x14ac:dyDescent="0.35">
      <c r="C377" s="24"/>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row>
    <row r="378" spans="3:43" x14ac:dyDescent="0.35">
      <c r="C378" s="26" t="str">
        <f ca="1">INDEX('Version control'!$H$38:$H$61,MATCH($A$1,'Version control'!$F$38:$F$61,0),1)&amp;"-N: Revenue matching adders by timeband"</f>
        <v>Section 116-N: Revenue matching adders by timeband</v>
      </c>
      <c r="D378" s="26"/>
      <c r="E378" s="26"/>
      <c r="F378" s="26"/>
      <c r="G378" s="26"/>
      <c r="H378" s="26"/>
      <c r="I378" s="26"/>
      <c r="J378" s="179"/>
      <c r="K378" s="179"/>
      <c r="L378" s="179"/>
      <c r="M378" s="179"/>
      <c r="N378" s="179"/>
      <c r="O378" s="179"/>
      <c r="P378" s="179"/>
      <c r="Q378" s="179"/>
      <c r="R378" s="179"/>
      <c r="S378" s="179"/>
      <c r="T378" s="179"/>
      <c r="U378" s="179"/>
      <c r="V378" s="179"/>
      <c r="W378" s="179"/>
      <c r="X378" s="179"/>
      <c r="Y378" s="179"/>
      <c r="Z378" s="179"/>
      <c r="AA378" s="179"/>
      <c r="AB378" s="179"/>
      <c r="AC378" s="179"/>
      <c r="AD378" s="179"/>
      <c r="AE378" s="179"/>
      <c r="AF378" s="179"/>
      <c r="AG378" s="179"/>
      <c r="AH378" s="179"/>
      <c r="AI378" s="179"/>
      <c r="AJ378" s="179"/>
      <c r="AK378" s="179"/>
      <c r="AL378" s="179"/>
      <c r="AM378" s="179"/>
      <c r="AN378" s="179"/>
      <c r="AO378" s="179"/>
      <c r="AP378" s="26"/>
      <c r="AQ378" s="26"/>
    </row>
    <row r="379" spans="3:43" x14ac:dyDescent="0.35">
      <c r="C379" s="24"/>
      <c r="E379" s="27"/>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row>
    <row r="380" spans="3:43" x14ac:dyDescent="0.35">
      <c r="C380" s="24"/>
      <c r="D380" s="24" t="s">
        <v>1141</v>
      </c>
      <c r="E380" s="27"/>
      <c r="I380" t="s">
        <v>154</v>
      </c>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Q380" t="s">
        <v>1123</v>
      </c>
    </row>
    <row r="381" spans="3:43" x14ac:dyDescent="0.35">
      <c r="C381" s="24"/>
      <c r="D381" s="24" t="s">
        <v>1094</v>
      </c>
      <c r="E381" s="27"/>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row>
    <row r="382" spans="3:43" x14ac:dyDescent="0.35">
      <c r="C382" s="24"/>
      <c r="D382" s="24" t="s">
        <v>1095</v>
      </c>
      <c r="E382" s="27"/>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row>
    <row r="383" spans="3:43" x14ac:dyDescent="0.35">
      <c r="C383" s="24"/>
      <c r="E383" s="27"/>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row>
    <row r="384" spans="3:43" x14ac:dyDescent="0.35">
      <c r="C384" s="24"/>
      <c r="E384" s="27" t="s">
        <v>1096</v>
      </c>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row>
    <row r="385" spans="3:41" x14ac:dyDescent="0.35">
      <c r="C385" s="24"/>
      <c r="F385" s="19" t="s">
        <v>1097</v>
      </c>
      <c r="G385" s="19" t="s">
        <v>907</v>
      </c>
      <c r="H385" s="19"/>
      <c r="I385" s="19"/>
      <c r="J385" s="392" t="b">
        <f t="shared" ref="J385:AO385" si="161">J312</f>
        <v>1</v>
      </c>
      <c r="K385" s="392" t="b">
        <f t="shared" si="161"/>
        <v>1</v>
      </c>
      <c r="L385" s="392" t="b">
        <f t="shared" si="161"/>
        <v>1</v>
      </c>
      <c r="M385" s="392" t="b">
        <f t="shared" si="161"/>
        <v>1</v>
      </c>
      <c r="N385" s="392" t="b">
        <f t="shared" si="161"/>
        <v>1</v>
      </c>
      <c r="O385" s="392" t="b">
        <f t="shared" si="161"/>
        <v>1</v>
      </c>
      <c r="P385" s="392" t="b">
        <f t="shared" si="161"/>
        <v>1</v>
      </c>
      <c r="Q385" s="392" t="b">
        <f t="shared" si="161"/>
        <v>1</v>
      </c>
      <c r="R385" s="392" t="b">
        <f t="shared" si="161"/>
        <v>1</v>
      </c>
      <c r="S385" s="392" t="b">
        <f t="shared" si="161"/>
        <v>1</v>
      </c>
      <c r="T385" s="392" t="b">
        <f t="shared" si="161"/>
        <v>1</v>
      </c>
      <c r="U385" s="392" t="b">
        <f t="shared" si="161"/>
        <v>1</v>
      </c>
      <c r="V385" s="392" t="b">
        <f t="shared" si="161"/>
        <v>1</v>
      </c>
      <c r="W385" s="392" t="b">
        <f t="shared" si="161"/>
        <v>1</v>
      </c>
      <c r="X385" s="392" t="b">
        <f t="shared" si="161"/>
        <v>1</v>
      </c>
      <c r="Y385" s="392" t="b">
        <f t="shared" si="161"/>
        <v>1</v>
      </c>
      <c r="Z385" s="392" t="b">
        <f t="shared" si="161"/>
        <v>1</v>
      </c>
      <c r="AA385" s="392" t="b">
        <f t="shared" si="161"/>
        <v>1</v>
      </c>
      <c r="AB385" s="392" t="b">
        <f t="shared" si="161"/>
        <v>1</v>
      </c>
      <c r="AC385" s="392" t="b">
        <f t="shared" si="161"/>
        <v>1</v>
      </c>
      <c r="AD385" s="392" t="b">
        <f t="shared" si="161"/>
        <v>1</v>
      </c>
      <c r="AE385" s="392" t="b">
        <f t="shared" si="161"/>
        <v>1</v>
      </c>
      <c r="AF385" s="392" t="b">
        <f t="shared" si="161"/>
        <v>1</v>
      </c>
      <c r="AG385" s="392" t="b">
        <f t="shared" si="161"/>
        <v>1</v>
      </c>
      <c r="AH385" s="392" t="b">
        <f t="shared" si="161"/>
        <v>1</v>
      </c>
      <c r="AI385" s="392" t="b">
        <f t="shared" si="161"/>
        <v>1</v>
      </c>
      <c r="AJ385" s="392" t="b">
        <f t="shared" si="161"/>
        <v>1</v>
      </c>
      <c r="AK385" s="392" t="b">
        <f t="shared" si="161"/>
        <v>1</v>
      </c>
      <c r="AL385" s="392" t="b">
        <f t="shared" si="161"/>
        <v>1</v>
      </c>
      <c r="AM385" s="392" t="b">
        <f t="shared" si="161"/>
        <v>1</v>
      </c>
      <c r="AN385" s="392" t="b">
        <f t="shared" si="161"/>
        <v>1</v>
      </c>
      <c r="AO385" s="392" t="b">
        <f t="shared" si="161"/>
        <v>1</v>
      </c>
    </row>
    <row r="386" spans="3:41" x14ac:dyDescent="0.35">
      <c r="C386" s="24"/>
      <c r="F386" t="s">
        <v>1098</v>
      </c>
      <c r="G386" t="s">
        <v>907</v>
      </c>
      <c r="J386" s="392" t="b">
        <f t="shared" ref="J386:AO386" si="162">J344</f>
        <v>1</v>
      </c>
      <c r="K386" s="392" t="b">
        <f t="shared" si="162"/>
        <v>1</v>
      </c>
      <c r="L386" s="392" t="b">
        <f t="shared" si="162"/>
        <v>1</v>
      </c>
      <c r="M386" s="392" t="b">
        <f t="shared" si="162"/>
        <v>1</v>
      </c>
      <c r="N386" s="392" t="b">
        <f t="shared" si="162"/>
        <v>1</v>
      </c>
      <c r="O386" s="392" t="b">
        <f t="shared" si="162"/>
        <v>1</v>
      </c>
      <c r="P386" s="392" t="b">
        <f t="shared" si="162"/>
        <v>1</v>
      </c>
      <c r="Q386" s="392" t="b">
        <f t="shared" si="162"/>
        <v>1</v>
      </c>
      <c r="R386" s="392" t="b">
        <f t="shared" si="162"/>
        <v>1</v>
      </c>
      <c r="S386" s="392" t="b">
        <f t="shared" si="162"/>
        <v>1</v>
      </c>
      <c r="T386" s="392" t="b">
        <f t="shared" si="162"/>
        <v>1</v>
      </c>
      <c r="U386" s="392" t="b">
        <f t="shared" si="162"/>
        <v>1</v>
      </c>
      <c r="V386" s="392" t="b">
        <f t="shared" si="162"/>
        <v>1</v>
      </c>
      <c r="W386" s="392" t="b">
        <f t="shared" si="162"/>
        <v>1</v>
      </c>
      <c r="X386" s="392" t="b">
        <f t="shared" si="162"/>
        <v>1</v>
      </c>
      <c r="Y386" s="392" t="b">
        <f t="shared" si="162"/>
        <v>1</v>
      </c>
      <c r="Z386" s="392" t="b">
        <f t="shared" si="162"/>
        <v>1</v>
      </c>
      <c r="AA386" s="392" t="b">
        <f t="shared" si="162"/>
        <v>1</v>
      </c>
      <c r="AB386" s="392" t="b">
        <f t="shared" si="162"/>
        <v>1</v>
      </c>
      <c r="AC386" s="392" t="b">
        <f t="shared" si="162"/>
        <v>1</v>
      </c>
      <c r="AD386" s="392" t="b">
        <f t="shared" si="162"/>
        <v>1</v>
      </c>
      <c r="AE386" s="392" t="b">
        <f t="shared" si="162"/>
        <v>1</v>
      </c>
      <c r="AF386" s="392" t="b">
        <f t="shared" si="162"/>
        <v>1</v>
      </c>
      <c r="AG386" s="392" t="b">
        <f t="shared" si="162"/>
        <v>1</v>
      </c>
      <c r="AH386" s="392" t="b">
        <f t="shared" si="162"/>
        <v>1</v>
      </c>
      <c r="AI386" s="392" t="b">
        <f t="shared" si="162"/>
        <v>1</v>
      </c>
      <c r="AJ386" s="392" t="b">
        <f t="shared" si="162"/>
        <v>1</v>
      </c>
      <c r="AK386" s="392" t="b">
        <f t="shared" si="162"/>
        <v>1</v>
      </c>
      <c r="AL386" s="392" t="b">
        <f t="shared" si="162"/>
        <v>1</v>
      </c>
      <c r="AM386" s="392" t="b">
        <f t="shared" si="162"/>
        <v>1</v>
      </c>
      <c r="AN386" s="392" t="b">
        <f t="shared" si="162"/>
        <v>1</v>
      </c>
      <c r="AO386" s="392" t="b">
        <f t="shared" si="162"/>
        <v>1</v>
      </c>
    </row>
    <row r="387" spans="3:41" x14ac:dyDescent="0.35">
      <c r="C387" s="24"/>
      <c r="F387" s="28" t="s">
        <v>1099</v>
      </c>
      <c r="G387" s="28" t="s">
        <v>907</v>
      </c>
      <c r="H387" s="28"/>
      <c r="I387" s="28"/>
      <c r="J387" s="388" t="b">
        <f>J376</f>
        <v>1</v>
      </c>
      <c r="K387" s="388" t="b">
        <f t="shared" ref="K387:AO387" si="163">K376</f>
        <v>1</v>
      </c>
      <c r="L387" s="388" t="b">
        <f t="shared" si="163"/>
        <v>1</v>
      </c>
      <c r="M387" s="388" t="b">
        <f t="shared" si="163"/>
        <v>1</v>
      </c>
      <c r="N387" s="388" t="b">
        <f t="shared" si="163"/>
        <v>1</v>
      </c>
      <c r="O387" s="388" t="b">
        <f t="shared" si="163"/>
        <v>1</v>
      </c>
      <c r="P387" s="388" t="b">
        <f t="shared" si="163"/>
        <v>1</v>
      </c>
      <c r="Q387" s="388" t="b">
        <f t="shared" si="163"/>
        <v>1</v>
      </c>
      <c r="R387" s="388" t="b">
        <f t="shared" si="163"/>
        <v>1</v>
      </c>
      <c r="S387" s="388" t="b">
        <f t="shared" si="163"/>
        <v>1</v>
      </c>
      <c r="T387" s="388" t="b">
        <f t="shared" si="163"/>
        <v>1</v>
      </c>
      <c r="U387" s="388" t="b">
        <f t="shared" si="163"/>
        <v>1</v>
      </c>
      <c r="V387" s="388" t="b">
        <f t="shared" si="163"/>
        <v>1</v>
      </c>
      <c r="W387" s="388" t="b">
        <f t="shared" si="163"/>
        <v>1</v>
      </c>
      <c r="X387" s="388" t="b">
        <f t="shared" si="163"/>
        <v>1</v>
      </c>
      <c r="Y387" s="388" t="b">
        <f t="shared" si="163"/>
        <v>1</v>
      </c>
      <c r="Z387" s="388" t="b">
        <f t="shared" si="163"/>
        <v>1</v>
      </c>
      <c r="AA387" s="388" t="b">
        <f t="shared" si="163"/>
        <v>1</v>
      </c>
      <c r="AB387" s="388" t="b">
        <f t="shared" si="163"/>
        <v>1</v>
      </c>
      <c r="AC387" s="388" t="b">
        <f t="shared" si="163"/>
        <v>1</v>
      </c>
      <c r="AD387" s="388" t="b">
        <f t="shared" si="163"/>
        <v>1</v>
      </c>
      <c r="AE387" s="388" t="b">
        <f t="shared" si="163"/>
        <v>1</v>
      </c>
      <c r="AF387" s="388" t="b">
        <f t="shared" si="163"/>
        <v>1</v>
      </c>
      <c r="AG387" s="388" t="b">
        <f t="shared" si="163"/>
        <v>1</v>
      </c>
      <c r="AH387" s="388" t="b">
        <f t="shared" si="163"/>
        <v>1</v>
      </c>
      <c r="AI387" s="388" t="b">
        <f t="shared" si="163"/>
        <v>1</v>
      </c>
      <c r="AJ387" s="388" t="b">
        <f t="shared" si="163"/>
        <v>1</v>
      </c>
      <c r="AK387" s="388" t="b">
        <f t="shared" si="163"/>
        <v>1</v>
      </c>
      <c r="AL387" s="388" t="b">
        <f t="shared" si="163"/>
        <v>1</v>
      </c>
      <c r="AM387" s="388" t="b">
        <f t="shared" si="163"/>
        <v>1</v>
      </c>
      <c r="AN387" s="388" t="b">
        <f t="shared" si="163"/>
        <v>1</v>
      </c>
      <c r="AO387" s="388" t="b">
        <f t="shared" si="163"/>
        <v>1</v>
      </c>
    </row>
    <row r="388" spans="3:41" x14ac:dyDescent="0.35">
      <c r="C388" s="24"/>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row>
    <row r="389" spans="3:41" x14ac:dyDescent="0.35">
      <c r="C389" s="24"/>
      <c r="E389" s="27" t="s">
        <v>1100</v>
      </c>
      <c r="G389" t="s">
        <v>149</v>
      </c>
      <c r="J389" s="13">
        <f>COUNTIF(J385:J387, FALSE)+1</f>
        <v>1</v>
      </c>
      <c r="K389" s="13">
        <f t="shared" ref="K389:AO389" si="164">COUNTIF(K385:K387, FALSE)+1</f>
        <v>1</v>
      </c>
      <c r="L389" s="13">
        <f t="shared" si="164"/>
        <v>1</v>
      </c>
      <c r="M389" s="13">
        <f t="shared" si="164"/>
        <v>1</v>
      </c>
      <c r="N389" s="13">
        <f t="shared" si="164"/>
        <v>1</v>
      </c>
      <c r="O389" s="13">
        <f t="shared" si="164"/>
        <v>1</v>
      </c>
      <c r="P389" s="13">
        <f t="shared" si="164"/>
        <v>1</v>
      </c>
      <c r="Q389" s="13">
        <f t="shared" si="164"/>
        <v>1</v>
      </c>
      <c r="R389" s="13">
        <f t="shared" si="164"/>
        <v>1</v>
      </c>
      <c r="S389" s="13">
        <f t="shared" si="164"/>
        <v>1</v>
      </c>
      <c r="T389" s="13">
        <f t="shared" si="164"/>
        <v>1</v>
      </c>
      <c r="U389" s="13">
        <f t="shared" si="164"/>
        <v>1</v>
      </c>
      <c r="V389" s="13">
        <f t="shared" si="164"/>
        <v>1</v>
      </c>
      <c r="W389" s="13">
        <f t="shared" si="164"/>
        <v>1</v>
      </c>
      <c r="X389" s="13">
        <f t="shared" si="164"/>
        <v>1</v>
      </c>
      <c r="Y389" s="13">
        <f t="shared" si="164"/>
        <v>1</v>
      </c>
      <c r="Z389" s="13">
        <f t="shared" si="164"/>
        <v>1</v>
      </c>
      <c r="AA389" s="13">
        <f t="shared" si="164"/>
        <v>1</v>
      </c>
      <c r="AB389" s="13">
        <f t="shared" si="164"/>
        <v>1</v>
      </c>
      <c r="AC389" s="13">
        <f t="shared" si="164"/>
        <v>1</v>
      </c>
      <c r="AD389" s="13">
        <f t="shared" si="164"/>
        <v>1</v>
      </c>
      <c r="AE389" s="13">
        <f t="shared" si="164"/>
        <v>1</v>
      </c>
      <c r="AF389" s="13">
        <f t="shared" si="164"/>
        <v>1</v>
      </c>
      <c r="AG389" s="13">
        <f t="shared" si="164"/>
        <v>1</v>
      </c>
      <c r="AH389" s="13">
        <f t="shared" si="164"/>
        <v>1</v>
      </c>
      <c r="AI389" s="13">
        <f t="shared" si="164"/>
        <v>1</v>
      </c>
      <c r="AJ389" s="13">
        <f t="shared" si="164"/>
        <v>1</v>
      </c>
      <c r="AK389" s="13">
        <f t="shared" si="164"/>
        <v>1</v>
      </c>
      <c r="AL389" s="13">
        <f t="shared" si="164"/>
        <v>1</v>
      </c>
      <c r="AM389" s="13">
        <f t="shared" si="164"/>
        <v>1</v>
      </c>
      <c r="AN389" s="13">
        <f t="shared" si="164"/>
        <v>1</v>
      </c>
      <c r="AO389" s="13">
        <f t="shared" si="164"/>
        <v>1</v>
      </c>
    </row>
    <row r="390" spans="3:41" x14ac:dyDescent="0.35">
      <c r="C390" s="24"/>
      <c r="E390" s="23"/>
      <c r="J390" s="322"/>
      <c r="K390" s="322"/>
      <c r="L390" s="322"/>
      <c r="M390" s="322"/>
      <c r="N390" s="322"/>
      <c r="O390" s="322"/>
      <c r="P390" s="322"/>
      <c r="Q390" s="322"/>
      <c r="R390" s="322"/>
      <c r="S390" s="322"/>
      <c r="T390" s="322"/>
      <c r="U390" s="322"/>
      <c r="V390" s="322"/>
      <c r="W390" s="322"/>
      <c r="X390" s="322"/>
      <c r="Y390" s="322"/>
      <c r="Z390" s="322"/>
      <c r="AA390" s="322"/>
      <c r="AB390" s="322"/>
      <c r="AC390" s="322"/>
      <c r="AD390" s="322"/>
      <c r="AE390" s="322"/>
      <c r="AF390" s="322"/>
      <c r="AG390" s="322"/>
      <c r="AH390" s="322"/>
      <c r="AI390" s="322"/>
      <c r="AJ390" s="322"/>
      <c r="AK390" s="322"/>
      <c r="AL390" s="322"/>
      <c r="AM390" s="322"/>
      <c r="AN390" s="322"/>
      <c r="AO390" s="322"/>
    </row>
    <row r="391" spans="3:41" x14ac:dyDescent="0.35">
      <c r="C391" s="24"/>
      <c r="E391" s="27" t="s">
        <v>1101</v>
      </c>
      <c r="F391" s="28"/>
      <c r="G391" s="28"/>
      <c r="H391" s="28"/>
      <c r="I391" s="28"/>
      <c r="J391" s="388"/>
      <c r="K391" s="388"/>
      <c r="L391" s="388"/>
      <c r="M391" s="388"/>
      <c r="N391" s="388"/>
      <c r="O391" s="388"/>
      <c r="P391" s="388"/>
      <c r="Q391" s="388"/>
      <c r="R391" s="388"/>
      <c r="S391" s="388"/>
      <c r="T391" s="388"/>
      <c r="U391" s="388"/>
      <c r="V391" s="388"/>
      <c r="W391" s="388"/>
      <c r="X391" s="388"/>
      <c r="Y391" s="388"/>
      <c r="Z391" s="388"/>
      <c r="AA391" s="388"/>
      <c r="AB391" s="388"/>
      <c r="AC391" s="388"/>
      <c r="AD391" s="388"/>
      <c r="AE391" s="388"/>
      <c r="AF391" s="388"/>
      <c r="AG391" s="388"/>
      <c r="AH391" s="388"/>
      <c r="AI391" s="388"/>
      <c r="AJ391" s="388"/>
      <c r="AK391" s="388"/>
      <c r="AL391" s="388"/>
      <c r="AM391" s="388"/>
      <c r="AN391" s="388"/>
      <c r="AO391" s="388"/>
    </row>
    <row r="392" spans="3:41" x14ac:dyDescent="0.35">
      <c r="C392" s="24"/>
      <c r="F392" s="19" t="s">
        <v>1097</v>
      </c>
      <c r="G392" s="19" t="s">
        <v>907</v>
      </c>
      <c r="H392" s="19"/>
      <c r="I392" s="19"/>
      <c r="J392" s="393">
        <f t="shared" ref="J392:AO392" si="165">J305</f>
        <v>0</v>
      </c>
      <c r="K392" s="393">
        <f t="shared" si="165"/>
        <v>0</v>
      </c>
      <c r="L392" s="393">
        <f t="shared" si="165"/>
        <v>0</v>
      </c>
      <c r="M392" s="393">
        <f t="shared" si="165"/>
        <v>0</v>
      </c>
      <c r="N392" s="393">
        <f t="shared" si="165"/>
        <v>0</v>
      </c>
      <c r="O392" s="393">
        <f t="shared" si="165"/>
        <v>0</v>
      </c>
      <c r="P392" s="393">
        <f t="shared" si="165"/>
        <v>0</v>
      </c>
      <c r="Q392" s="393">
        <f t="shared" si="165"/>
        <v>0</v>
      </c>
      <c r="R392" s="393">
        <f t="shared" si="165"/>
        <v>0</v>
      </c>
      <c r="S392" s="393">
        <f t="shared" si="165"/>
        <v>0</v>
      </c>
      <c r="T392" s="393">
        <f t="shared" si="165"/>
        <v>0</v>
      </c>
      <c r="U392" s="393">
        <f t="shared" si="165"/>
        <v>0</v>
      </c>
      <c r="V392" s="393">
        <f t="shared" si="165"/>
        <v>0</v>
      </c>
      <c r="W392" s="393">
        <f t="shared" si="165"/>
        <v>0</v>
      </c>
      <c r="X392" s="393">
        <f t="shared" si="165"/>
        <v>0</v>
      </c>
      <c r="Y392" s="393">
        <f t="shared" si="165"/>
        <v>0</v>
      </c>
      <c r="Z392" s="393">
        <f t="shared" si="165"/>
        <v>0</v>
      </c>
      <c r="AA392" s="393">
        <f t="shared" si="165"/>
        <v>0</v>
      </c>
      <c r="AB392" s="393">
        <f t="shared" si="165"/>
        <v>0</v>
      </c>
      <c r="AC392" s="393">
        <f t="shared" si="165"/>
        <v>0</v>
      </c>
      <c r="AD392" s="393">
        <f t="shared" si="165"/>
        <v>0</v>
      </c>
      <c r="AE392" s="393">
        <f t="shared" si="165"/>
        <v>0</v>
      </c>
      <c r="AF392" s="393">
        <f t="shared" si="165"/>
        <v>0</v>
      </c>
      <c r="AG392" s="393">
        <f t="shared" si="165"/>
        <v>0</v>
      </c>
      <c r="AH392" s="393">
        <f t="shared" si="165"/>
        <v>0</v>
      </c>
      <c r="AI392" s="393">
        <f t="shared" si="165"/>
        <v>0</v>
      </c>
      <c r="AJ392" s="393">
        <f t="shared" si="165"/>
        <v>0</v>
      </c>
      <c r="AK392" s="393">
        <f t="shared" si="165"/>
        <v>0</v>
      </c>
      <c r="AL392" s="393">
        <f t="shared" si="165"/>
        <v>0</v>
      </c>
      <c r="AM392" s="393">
        <f t="shared" si="165"/>
        <v>0</v>
      </c>
      <c r="AN392" s="393">
        <f t="shared" si="165"/>
        <v>0</v>
      </c>
      <c r="AO392" s="393">
        <f t="shared" si="165"/>
        <v>0</v>
      </c>
    </row>
    <row r="393" spans="3:41" x14ac:dyDescent="0.35">
      <c r="C393" s="24"/>
      <c r="F393" t="s">
        <v>1098</v>
      </c>
      <c r="G393" t="s">
        <v>907</v>
      </c>
      <c r="J393" s="393">
        <f t="shared" ref="J393:AO393" si="166">J337</f>
        <v>0</v>
      </c>
      <c r="K393" s="393">
        <f t="shared" si="166"/>
        <v>0</v>
      </c>
      <c r="L393" s="393">
        <f t="shared" si="166"/>
        <v>0</v>
      </c>
      <c r="M393" s="393">
        <f t="shared" si="166"/>
        <v>0</v>
      </c>
      <c r="N393" s="393">
        <f t="shared" si="166"/>
        <v>0</v>
      </c>
      <c r="O393" s="393">
        <f t="shared" si="166"/>
        <v>0</v>
      </c>
      <c r="P393" s="393">
        <f t="shared" si="166"/>
        <v>0</v>
      </c>
      <c r="Q393" s="393">
        <f t="shared" si="166"/>
        <v>0</v>
      </c>
      <c r="R393" s="393">
        <f t="shared" si="166"/>
        <v>0</v>
      </c>
      <c r="S393" s="393">
        <f t="shared" si="166"/>
        <v>0</v>
      </c>
      <c r="T393" s="393">
        <f t="shared" si="166"/>
        <v>0</v>
      </c>
      <c r="U393" s="393">
        <f t="shared" si="166"/>
        <v>0</v>
      </c>
      <c r="V393" s="393">
        <f t="shared" si="166"/>
        <v>0</v>
      </c>
      <c r="W393" s="393">
        <f t="shared" si="166"/>
        <v>0</v>
      </c>
      <c r="X393" s="393">
        <f t="shared" si="166"/>
        <v>0</v>
      </c>
      <c r="Y393" s="393">
        <f t="shared" si="166"/>
        <v>0</v>
      </c>
      <c r="Z393" s="393">
        <f t="shared" si="166"/>
        <v>0</v>
      </c>
      <c r="AA393" s="393">
        <f t="shared" si="166"/>
        <v>0</v>
      </c>
      <c r="AB393" s="393">
        <f t="shared" si="166"/>
        <v>0</v>
      </c>
      <c r="AC393" s="393">
        <f t="shared" si="166"/>
        <v>0</v>
      </c>
      <c r="AD393" s="393">
        <f t="shared" si="166"/>
        <v>0</v>
      </c>
      <c r="AE393" s="393">
        <f t="shared" si="166"/>
        <v>0</v>
      </c>
      <c r="AF393" s="393">
        <f t="shared" si="166"/>
        <v>0</v>
      </c>
      <c r="AG393" s="393">
        <f t="shared" si="166"/>
        <v>0</v>
      </c>
      <c r="AH393" s="393">
        <f t="shared" si="166"/>
        <v>0</v>
      </c>
      <c r="AI393" s="393">
        <f t="shared" si="166"/>
        <v>0</v>
      </c>
      <c r="AJ393" s="393">
        <f t="shared" si="166"/>
        <v>0</v>
      </c>
      <c r="AK393" s="393">
        <f t="shared" si="166"/>
        <v>0</v>
      </c>
      <c r="AL393" s="393">
        <f t="shared" si="166"/>
        <v>0</v>
      </c>
      <c r="AM393" s="393">
        <f t="shared" si="166"/>
        <v>0</v>
      </c>
      <c r="AN393" s="393">
        <f t="shared" si="166"/>
        <v>0</v>
      </c>
      <c r="AO393" s="393">
        <f t="shared" si="166"/>
        <v>0</v>
      </c>
    </row>
    <row r="394" spans="3:41" x14ac:dyDescent="0.35">
      <c r="C394" s="24"/>
      <c r="F394" s="28" t="s">
        <v>1099</v>
      </c>
      <c r="G394" s="28" t="s">
        <v>907</v>
      </c>
      <c r="H394" s="28"/>
      <c r="I394" s="28"/>
      <c r="J394" s="384">
        <f t="shared" ref="J394:AO394" si="167">J369</f>
        <v>0</v>
      </c>
      <c r="K394" s="384">
        <f t="shared" si="167"/>
        <v>0</v>
      </c>
      <c r="L394" s="384">
        <f t="shared" si="167"/>
        <v>0</v>
      </c>
      <c r="M394" s="384">
        <f t="shared" si="167"/>
        <v>0</v>
      </c>
      <c r="N394" s="384">
        <f t="shared" si="167"/>
        <v>0</v>
      </c>
      <c r="O394" s="384">
        <f t="shared" si="167"/>
        <v>0</v>
      </c>
      <c r="P394" s="384">
        <f t="shared" si="167"/>
        <v>0</v>
      </c>
      <c r="Q394" s="384">
        <f t="shared" si="167"/>
        <v>0</v>
      </c>
      <c r="R394" s="384">
        <f t="shared" si="167"/>
        <v>0</v>
      </c>
      <c r="S394" s="384">
        <f t="shared" si="167"/>
        <v>0</v>
      </c>
      <c r="T394" s="384">
        <f t="shared" si="167"/>
        <v>0</v>
      </c>
      <c r="U394" s="384">
        <f t="shared" si="167"/>
        <v>0</v>
      </c>
      <c r="V394" s="384">
        <f t="shared" si="167"/>
        <v>0</v>
      </c>
      <c r="W394" s="384">
        <f t="shared" si="167"/>
        <v>0</v>
      </c>
      <c r="X394" s="384">
        <f t="shared" si="167"/>
        <v>0</v>
      </c>
      <c r="Y394" s="384">
        <f t="shared" si="167"/>
        <v>0</v>
      </c>
      <c r="Z394" s="384">
        <f t="shared" si="167"/>
        <v>0</v>
      </c>
      <c r="AA394" s="384">
        <f t="shared" si="167"/>
        <v>0</v>
      </c>
      <c r="AB394" s="384">
        <f t="shared" si="167"/>
        <v>0</v>
      </c>
      <c r="AC394" s="384">
        <f t="shared" si="167"/>
        <v>0</v>
      </c>
      <c r="AD394" s="384">
        <f t="shared" si="167"/>
        <v>0</v>
      </c>
      <c r="AE394" s="384">
        <f t="shared" si="167"/>
        <v>0</v>
      </c>
      <c r="AF394" s="384">
        <f t="shared" si="167"/>
        <v>0</v>
      </c>
      <c r="AG394" s="384">
        <f t="shared" si="167"/>
        <v>0</v>
      </c>
      <c r="AH394" s="384">
        <f t="shared" si="167"/>
        <v>0</v>
      </c>
      <c r="AI394" s="384">
        <f t="shared" si="167"/>
        <v>0</v>
      </c>
      <c r="AJ394" s="384">
        <f t="shared" si="167"/>
        <v>0</v>
      </c>
      <c r="AK394" s="384">
        <f t="shared" si="167"/>
        <v>0</v>
      </c>
      <c r="AL394" s="384">
        <f t="shared" si="167"/>
        <v>0</v>
      </c>
      <c r="AM394" s="384">
        <f t="shared" si="167"/>
        <v>0</v>
      </c>
      <c r="AN394" s="384">
        <f t="shared" si="167"/>
        <v>0</v>
      </c>
      <c r="AO394" s="384">
        <f t="shared" si="167"/>
        <v>0</v>
      </c>
    </row>
    <row r="395" spans="3:41" x14ac:dyDescent="0.35">
      <c r="C395" s="24"/>
      <c r="J395" s="322"/>
      <c r="K395" s="322"/>
      <c r="L395" s="322"/>
      <c r="M395" s="322"/>
      <c r="N395" s="322"/>
      <c r="O395" s="322"/>
      <c r="P395" s="322"/>
      <c r="Q395" s="322"/>
      <c r="R395" s="322"/>
      <c r="S395" s="322"/>
      <c r="T395" s="322"/>
      <c r="U395" s="322"/>
      <c r="V395" s="322"/>
      <c r="W395" s="322"/>
      <c r="X395" s="322"/>
      <c r="Y395" s="322"/>
      <c r="Z395" s="322"/>
      <c r="AA395" s="322"/>
      <c r="AB395" s="322"/>
      <c r="AC395" s="322"/>
      <c r="AD395" s="322"/>
      <c r="AE395" s="322"/>
      <c r="AF395" s="322"/>
      <c r="AG395" s="322"/>
      <c r="AH395" s="322"/>
      <c r="AI395" s="322"/>
      <c r="AJ395" s="322"/>
      <c r="AK395" s="322"/>
      <c r="AL395" s="322"/>
      <c r="AM395" s="322"/>
      <c r="AN395" s="322"/>
      <c r="AO395" s="322"/>
    </row>
    <row r="396" spans="3:41" x14ac:dyDescent="0.35">
      <c r="C396" s="24"/>
      <c r="E396" s="382" t="s">
        <v>1102</v>
      </c>
      <c r="G396" t="s">
        <v>269</v>
      </c>
      <c r="J396" s="322">
        <f>INDEX(J392:J394,J389)</f>
        <v>0</v>
      </c>
      <c r="K396" s="322">
        <f t="shared" ref="K396:AO396" si="168">INDEX(K392:K394,K389)</f>
        <v>0</v>
      </c>
      <c r="L396" s="322">
        <f t="shared" si="168"/>
        <v>0</v>
      </c>
      <c r="M396" s="322">
        <f t="shared" si="168"/>
        <v>0</v>
      </c>
      <c r="N396" s="322">
        <f t="shared" si="168"/>
        <v>0</v>
      </c>
      <c r="O396" s="322">
        <f t="shared" si="168"/>
        <v>0</v>
      </c>
      <c r="P396" s="322">
        <f t="shared" si="168"/>
        <v>0</v>
      </c>
      <c r="Q396" s="322">
        <f t="shared" si="168"/>
        <v>0</v>
      </c>
      <c r="R396" s="322">
        <f t="shared" si="168"/>
        <v>0</v>
      </c>
      <c r="S396" s="322">
        <f t="shared" si="168"/>
        <v>0</v>
      </c>
      <c r="T396" s="322">
        <f t="shared" si="168"/>
        <v>0</v>
      </c>
      <c r="U396" s="322">
        <f t="shared" si="168"/>
        <v>0</v>
      </c>
      <c r="V396" s="322">
        <f t="shared" si="168"/>
        <v>0</v>
      </c>
      <c r="W396" s="322">
        <f t="shared" si="168"/>
        <v>0</v>
      </c>
      <c r="X396" s="322">
        <f t="shared" si="168"/>
        <v>0</v>
      </c>
      <c r="Y396" s="322">
        <f t="shared" si="168"/>
        <v>0</v>
      </c>
      <c r="Z396" s="322">
        <f t="shared" si="168"/>
        <v>0</v>
      </c>
      <c r="AA396" s="322">
        <f t="shared" si="168"/>
        <v>0</v>
      </c>
      <c r="AB396" s="322">
        <f t="shared" si="168"/>
        <v>0</v>
      </c>
      <c r="AC396" s="322">
        <f t="shared" si="168"/>
        <v>0</v>
      </c>
      <c r="AD396" s="322">
        <f t="shared" si="168"/>
        <v>0</v>
      </c>
      <c r="AE396" s="322">
        <f t="shared" si="168"/>
        <v>0</v>
      </c>
      <c r="AF396" s="322">
        <f t="shared" si="168"/>
        <v>0</v>
      </c>
      <c r="AG396" s="322">
        <f t="shared" si="168"/>
        <v>0</v>
      </c>
      <c r="AH396" s="322">
        <f t="shared" si="168"/>
        <v>0</v>
      </c>
      <c r="AI396" s="322">
        <f t="shared" si="168"/>
        <v>0</v>
      </c>
      <c r="AJ396" s="322">
        <f t="shared" si="168"/>
        <v>0</v>
      </c>
      <c r="AK396" s="322">
        <f t="shared" si="168"/>
        <v>0</v>
      </c>
      <c r="AL396" s="322">
        <f t="shared" si="168"/>
        <v>0</v>
      </c>
      <c r="AM396" s="322">
        <f t="shared" si="168"/>
        <v>0</v>
      </c>
      <c r="AN396" s="322">
        <f t="shared" si="168"/>
        <v>0</v>
      </c>
      <c r="AO396" s="322">
        <f t="shared" si="168"/>
        <v>0</v>
      </c>
    </row>
    <row r="397" spans="3:41" x14ac:dyDescent="0.35">
      <c r="C397" s="24"/>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row>
    <row r="398" spans="3:41" x14ac:dyDescent="0.35">
      <c r="C398" s="24"/>
      <c r="E398" s="27" t="s">
        <v>1103</v>
      </c>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row>
    <row r="399" spans="3:41" x14ac:dyDescent="0.35">
      <c r="C399" s="24"/>
      <c r="F399" s="19" t="s">
        <v>1056</v>
      </c>
      <c r="G399" s="19" t="s">
        <v>269</v>
      </c>
      <c r="H399" s="19"/>
      <c r="I399" s="19"/>
      <c r="J399" s="383">
        <f t="shared" ref="J399:AO401" si="169">MAX(J$396, J263)</f>
        <v>0</v>
      </c>
      <c r="K399" s="383">
        <f t="shared" si="169"/>
        <v>0</v>
      </c>
      <c r="L399" s="383">
        <f t="shared" si="169"/>
        <v>0</v>
      </c>
      <c r="M399" s="383">
        <f t="shared" si="169"/>
        <v>0</v>
      </c>
      <c r="N399" s="383">
        <f t="shared" si="169"/>
        <v>0</v>
      </c>
      <c r="O399" s="383">
        <f t="shared" si="169"/>
        <v>0</v>
      </c>
      <c r="P399" s="383">
        <f t="shared" si="169"/>
        <v>0</v>
      </c>
      <c r="Q399" s="383">
        <f t="shared" si="169"/>
        <v>0</v>
      </c>
      <c r="R399" s="383">
        <f t="shared" si="169"/>
        <v>0</v>
      </c>
      <c r="S399" s="383">
        <f t="shared" si="169"/>
        <v>0</v>
      </c>
      <c r="T399" s="383">
        <f t="shared" si="169"/>
        <v>0</v>
      </c>
      <c r="U399" s="383">
        <f t="shared" si="169"/>
        <v>0</v>
      </c>
      <c r="V399" s="383">
        <f t="shared" si="169"/>
        <v>0</v>
      </c>
      <c r="W399" s="383">
        <f t="shared" si="169"/>
        <v>0</v>
      </c>
      <c r="X399" s="383">
        <f t="shared" si="169"/>
        <v>0</v>
      </c>
      <c r="Y399" s="383">
        <f t="shared" si="169"/>
        <v>0</v>
      </c>
      <c r="Z399" s="383">
        <f t="shared" si="169"/>
        <v>0</v>
      </c>
      <c r="AA399" s="383">
        <f t="shared" si="169"/>
        <v>0</v>
      </c>
      <c r="AB399" s="383">
        <f t="shared" si="169"/>
        <v>0</v>
      </c>
      <c r="AC399" s="383">
        <f t="shared" si="169"/>
        <v>0</v>
      </c>
      <c r="AD399" s="383">
        <f t="shared" si="169"/>
        <v>0</v>
      </c>
      <c r="AE399" s="383">
        <f t="shared" si="169"/>
        <v>0</v>
      </c>
      <c r="AF399" s="383">
        <f t="shared" si="169"/>
        <v>0</v>
      </c>
      <c r="AG399" s="383">
        <f t="shared" si="169"/>
        <v>0</v>
      </c>
      <c r="AH399" s="383">
        <f t="shared" si="169"/>
        <v>0</v>
      </c>
      <c r="AI399" s="383">
        <f t="shared" si="169"/>
        <v>0</v>
      </c>
      <c r="AJ399" s="383">
        <f t="shared" si="169"/>
        <v>0</v>
      </c>
      <c r="AK399" s="383">
        <f t="shared" si="169"/>
        <v>0</v>
      </c>
      <c r="AL399" s="383">
        <f t="shared" si="169"/>
        <v>0</v>
      </c>
      <c r="AM399" s="383">
        <f t="shared" si="169"/>
        <v>0</v>
      </c>
      <c r="AN399" s="383">
        <f t="shared" si="169"/>
        <v>0</v>
      </c>
      <c r="AO399" s="383">
        <f t="shared" si="169"/>
        <v>0</v>
      </c>
    </row>
    <row r="400" spans="3:41" x14ac:dyDescent="0.35">
      <c r="C400" s="24"/>
      <c r="F400" t="s">
        <v>1057</v>
      </c>
      <c r="G400" t="s">
        <v>269</v>
      </c>
      <c r="J400" s="322">
        <f t="shared" si="169"/>
        <v>0</v>
      </c>
      <c r="K400" s="322">
        <f t="shared" si="169"/>
        <v>0</v>
      </c>
      <c r="L400" s="322">
        <f t="shared" si="169"/>
        <v>0</v>
      </c>
      <c r="M400" s="322">
        <f t="shared" si="169"/>
        <v>0</v>
      </c>
      <c r="N400" s="322">
        <f t="shared" si="169"/>
        <v>0</v>
      </c>
      <c r="O400" s="322">
        <f t="shared" si="169"/>
        <v>0</v>
      </c>
      <c r="P400" s="322">
        <f t="shared" si="169"/>
        <v>0</v>
      </c>
      <c r="Q400" s="322">
        <f t="shared" si="169"/>
        <v>0</v>
      </c>
      <c r="R400" s="322">
        <f t="shared" si="169"/>
        <v>0</v>
      </c>
      <c r="S400" s="322">
        <f t="shared" si="169"/>
        <v>0</v>
      </c>
      <c r="T400" s="322">
        <f t="shared" si="169"/>
        <v>0</v>
      </c>
      <c r="U400" s="322">
        <f t="shared" si="169"/>
        <v>0</v>
      </c>
      <c r="V400" s="322">
        <f t="shared" si="169"/>
        <v>0</v>
      </c>
      <c r="W400" s="322">
        <f t="shared" si="169"/>
        <v>0</v>
      </c>
      <c r="X400" s="322">
        <f t="shared" si="169"/>
        <v>0</v>
      </c>
      <c r="Y400" s="322">
        <f t="shared" si="169"/>
        <v>0</v>
      </c>
      <c r="Z400" s="322">
        <f t="shared" si="169"/>
        <v>0</v>
      </c>
      <c r="AA400" s="322">
        <f t="shared" si="169"/>
        <v>0</v>
      </c>
      <c r="AB400" s="322">
        <f t="shared" si="169"/>
        <v>0</v>
      </c>
      <c r="AC400" s="322">
        <f t="shared" si="169"/>
        <v>0</v>
      </c>
      <c r="AD400" s="322">
        <f t="shared" si="169"/>
        <v>0</v>
      </c>
      <c r="AE400" s="322">
        <f t="shared" si="169"/>
        <v>0</v>
      </c>
      <c r="AF400" s="322">
        <f t="shared" si="169"/>
        <v>0</v>
      </c>
      <c r="AG400" s="322">
        <f t="shared" si="169"/>
        <v>0</v>
      </c>
      <c r="AH400" s="322">
        <f t="shared" si="169"/>
        <v>0</v>
      </c>
      <c r="AI400" s="322">
        <f t="shared" si="169"/>
        <v>0</v>
      </c>
      <c r="AJ400" s="322">
        <f t="shared" si="169"/>
        <v>0</v>
      </c>
      <c r="AK400" s="322">
        <f t="shared" si="169"/>
        <v>0</v>
      </c>
      <c r="AL400" s="322">
        <f t="shared" si="169"/>
        <v>0</v>
      </c>
      <c r="AM400" s="322">
        <f t="shared" si="169"/>
        <v>0</v>
      </c>
      <c r="AN400" s="322">
        <f t="shared" si="169"/>
        <v>0</v>
      </c>
      <c r="AO400" s="322">
        <f t="shared" si="169"/>
        <v>0</v>
      </c>
    </row>
    <row r="401" spans="2:43" x14ac:dyDescent="0.35">
      <c r="C401" s="24"/>
      <c r="F401" s="28" t="s">
        <v>1058</v>
      </c>
      <c r="G401" s="28" t="s">
        <v>269</v>
      </c>
      <c r="H401" s="28"/>
      <c r="I401" s="28"/>
      <c r="J401" s="384">
        <f t="shared" si="169"/>
        <v>0</v>
      </c>
      <c r="K401" s="384">
        <f t="shared" si="169"/>
        <v>0</v>
      </c>
      <c r="L401" s="384">
        <f t="shared" si="169"/>
        <v>0</v>
      </c>
      <c r="M401" s="384">
        <f t="shared" si="169"/>
        <v>0</v>
      </c>
      <c r="N401" s="384">
        <f t="shared" si="169"/>
        <v>0</v>
      </c>
      <c r="O401" s="384">
        <f t="shared" si="169"/>
        <v>0</v>
      </c>
      <c r="P401" s="384">
        <f t="shared" si="169"/>
        <v>0</v>
      </c>
      <c r="Q401" s="384">
        <f t="shared" si="169"/>
        <v>0</v>
      </c>
      <c r="R401" s="384">
        <f t="shared" si="169"/>
        <v>0</v>
      </c>
      <c r="S401" s="384">
        <f t="shared" si="169"/>
        <v>0</v>
      </c>
      <c r="T401" s="384">
        <f t="shared" si="169"/>
        <v>0</v>
      </c>
      <c r="U401" s="384">
        <f t="shared" si="169"/>
        <v>0</v>
      </c>
      <c r="V401" s="384">
        <f t="shared" si="169"/>
        <v>0</v>
      </c>
      <c r="W401" s="384">
        <f t="shared" si="169"/>
        <v>0</v>
      </c>
      <c r="X401" s="384">
        <f t="shared" si="169"/>
        <v>0</v>
      </c>
      <c r="Y401" s="384">
        <f t="shared" si="169"/>
        <v>0</v>
      </c>
      <c r="Z401" s="384">
        <f t="shared" si="169"/>
        <v>0</v>
      </c>
      <c r="AA401" s="384">
        <f t="shared" si="169"/>
        <v>0</v>
      </c>
      <c r="AB401" s="384">
        <f t="shared" si="169"/>
        <v>0</v>
      </c>
      <c r="AC401" s="384">
        <f t="shared" si="169"/>
        <v>0</v>
      </c>
      <c r="AD401" s="384">
        <f t="shared" si="169"/>
        <v>0</v>
      </c>
      <c r="AE401" s="384">
        <f t="shared" si="169"/>
        <v>0</v>
      </c>
      <c r="AF401" s="384">
        <f t="shared" si="169"/>
        <v>0</v>
      </c>
      <c r="AG401" s="384">
        <f t="shared" si="169"/>
        <v>0</v>
      </c>
      <c r="AH401" s="384">
        <f t="shared" si="169"/>
        <v>0</v>
      </c>
      <c r="AI401" s="384">
        <f t="shared" si="169"/>
        <v>0</v>
      </c>
      <c r="AJ401" s="384">
        <f t="shared" si="169"/>
        <v>0</v>
      </c>
      <c r="AK401" s="384">
        <f t="shared" si="169"/>
        <v>0</v>
      </c>
      <c r="AL401" s="384">
        <f t="shared" si="169"/>
        <v>0</v>
      </c>
      <c r="AM401" s="384">
        <f t="shared" si="169"/>
        <v>0</v>
      </c>
      <c r="AN401" s="384">
        <f t="shared" si="169"/>
        <v>0</v>
      </c>
      <c r="AO401" s="384">
        <f t="shared" si="169"/>
        <v>0</v>
      </c>
    </row>
    <row r="402" spans="2:43" x14ac:dyDescent="0.35">
      <c r="C402" s="24"/>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row>
    <row r="403" spans="2:43" x14ac:dyDescent="0.35">
      <c r="C403" s="24"/>
      <c r="E403" s="27" t="s">
        <v>1104</v>
      </c>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row>
    <row r="404" spans="2:43" x14ac:dyDescent="0.35">
      <c r="C404" s="24"/>
      <c r="F404" s="19" t="s">
        <v>156</v>
      </c>
      <c r="G404" s="19" t="s">
        <v>269</v>
      </c>
      <c r="H404" s="19"/>
      <c r="I404" s="19"/>
      <c r="J404" s="383">
        <f t="shared" ref="J404:AO406" si="170">IF(J$238, INDEX(J$399:J$401,J268), 0)</f>
        <v>0</v>
      </c>
      <c r="K404" s="383">
        <f t="shared" si="170"/>
        <v>0</v>
      </c>
      <c r="L404" s="383">
        <f t="shared" si="170"/>
        <v>0</v>
      </c>
      <c r="M404" s="383">
        <f t="shared" si="170"/>
        <v>0</v>
      </c>
      <c r="N404" s="383">
        <f t="shared" si="170"/>
        <v>0</v>
      </c>
      <c r="O404" s="383">
        <f t="shared" si="170"/>
        <v>0</v>
      </c>
      <c r="P404" s="383">
        <f t="shared" si="170"/>
        <v>0</v>
      </c>
      <c r="Q404" s="383">
        <f t="shared" si="170"/>
        <v>0</v>
      </c>
      <c r="R404" s="383">
        <f t="shared" si="170"/>
        <v>0</v>
      </c>
      <c r="S404" s="383">
        <f t="shared" si="170"/>
        <v>0</v>
      </c>
      <c r="T404" s="383">
        <f t="shared" si="170"/>
        <v>0</v>
      </c>
      <c r="U404" s="383">
        <f t="shared" si="170"/>
        <v>0</v>
      </c>
      <c r="V404" s="383">
        <f t="shared" si="170"/>
        <v>0</v>
      </c>
      <c r="W404" s="383">
        <f t="shared" si="170"/>
        <v>0</v>
      </c>
      <c r="X404" s="383">
        <f t="shared" si="170"/>
        <v>0</v>
      </c>
      <c r="Y404" s="383">
        <f t="shared" si="170"/>
        <v>0</v>
      </c>
      <c r="Z404" s="383">
        <f t="shared" si="170"/>
        <v>0</v>
      </c>
      <c r="AA404" s="383">
        <f t="shared" si="170"/>
        <v>0</v>
      </c>
      <c r="AB404" s="383">
        <f t="shared" si="170"/>
        <v>0</v>
      </c>
      <c r="AC404" s="383">
        <f t="shared" si="170"/>
        <v>0</v>
      </c>
      <c r="AD404" s="383">
        <f t="shared" si="170"/>
        <v>0</v>
      </c>
      <c r="AE404" s="383">
        <f t="shared" si="170"/>
        <v>0</v>
      </c>
      <c r="AF404" s="383">
        <f t="shared" si="170"/>
        <v>0</v>
      </c>
      <c r="AG404" s="383">
        <f t="shared" si="170"/>
        <v>0</v>
      </c>
      <c r="AH404" s="383">
        <f t="shared" si="170"/>
        <v>0</v>
      </c>
      <c r="AI404" s="383">
        <f t="shared" si="170"/>
        <v>0</v>
      </c>
      <c r="AJ404" s="383">
        <f t="shared" si="170"/>
        <v>0</v>
      </c>
      <c r="AK404" s="383">
        <f t="shared" si="170"/>
        <v>0</v>
      </c>
      <c r="AL404" s="383">
        <f t="shared" si="170"/>
        <v>0</v>
      </c>
      <c r="AM404" s="383">
        <f t="shared" si="170"/>
        <v>0</v>
      </c>
      <c r="AN404" s="383">
        <f t="shared" si="170"/>
        <v>0</v>
      </c>
      <c r="AO404" s="383">
        <f t="shared" si="170"/>
        <v>0</v>
      </c>
    </row>
    <row r="405" spans="2:43" x14ac:dyDescent="0.35">
      <c r="C405" s="24"/>
      <c r="F405" t="s">
        <v>157</v>
      </c>
      <c r="G405" t="s">
        <v>269</v>
      </c>
      <c r="J405" s="322">
        <f t="shared" si="170"/>
        <v>0</v>
      </c>
      <c r="K405" s="322">
        <f t="shared" si="170"/>
        <v>0</v>
      </c>
      <c r="L405" s="322">
        <f t="shared" si="170"/>
        <v>0</v>
      </c>
      <c r="M405" s="322">
        <f t="shared" si="170"/>
        <v>0</v>
      </c>
      <c r="N405" s="322">
        <f t="shared" si="170"/>
        <v>0</v>
      </c>
      <c r="O405" s="322">
        <f t="shared" si="170"/>
        <v>0</v>
      </c>
      <c r="P405" s="322">
        <f t="shared" si="170"/>
        <v>0</v>
      </c>
      <c r="Q405" s="322">
        <f t="shared" si="170"/>
        <v>0</v>
      </c>
      <c r="R405" s="322">
        <f t="shared" si="170"/>
        <v>0</v>
      </c>
      <c r="S405" s="322">
        <f t="shared" si="170"/>
        <v>0</v>
      </c>
      <c r="T405" s="322">
        <f t="shared" si="170"/>
        <v>0</v>
      </c>
      <c r="U405" s="322">
        <f t="shared" si="170"/>
        <v>0</v>
      </c>
      <c r="V405" s="322">
        <f t="shared" si="170"/>
        <v>0</v>
      </c>
      <c r="W405" s="322">
        <f t="shared" si="170"/>
        <v>0</v>
      </c>
      <c r="X405" s="322">
        <f t="shared" si="170"/>
        <v>0</v>
      </c>
      <c r="Y405" s="322">
        <f t="shared" si="170"/>
        <v>0</v>
      </c>
      <c r="Z405" s="322">
        <f t="shared" si="170"/>
        <v>0</v>
      </c>
      <c r="AA405" s="322">
        <f t="shared" si="170"/>
        <v>0</v>
      </c>
      <c r="AB405" s="322">
        <f t="shared" si="170"/>
        <v>0</v>
      </c>
      <c r="AC405" s="322">
        <f t="shared" si="170"/>
        <v>0</v>
      </c>
      <c r="AD405" s="322">
        <f t="shared" si="170"/>
        <v>0</v>
      </c>
      <c r="AE405" s="322">
        <f t="shared" si="170"/>
        <v>0</v>
      </c>
      <c r="AF405" s="322">
        <f t="shared" si="170"/>
        <v>0</v>
      </c>
      <c r="AG405" s="322">
        <f t="shared" si="170"/>
        <v>0</v>
      </c>
      <c r="AH405" s="322">
        <f t="shared" si="170"/>
        <v>0</v>
      </c>
      <c r="AI405" s="322">
        <f t="shared" si="170"/>
        <v>0</v>
      </c>
      <c r="AJ405" s="322">
        <f t="shared" si="170"/>
        <v>0</v>
      </c>
      <c r="AK405" s="322">
        <f t="shared" si="170"/>
        <v>0</v>
      </c>
      <c r="AL405" s="322">
        <f t="shared" si="170"/>
        <v>0</v>
      </c>
      <c r="AM405" s="322">
        <f t="shared" si="170"/>
        <v>0</v>
      </c>
      <c r="AN405" s="322">
        <f t="shared" si="170"/>
        <v>0</v>
      </c>
      <c r="AO405" s="322">
        <f t="shared" si="170"/>
        <v>0</v>
      </c>
    </row>
    <row r="406" spans="2:43" x14ac:dyDescent="0.35">
      <c r="C406" s="24"/>
      <c r="F406" s="28" t="s">
        <v>158</v>
      </c>
      <c r="G406" s="28" t="s">
        <v>269</v>
      </c>
      <c r="H406" s="28"/>
      <c r="I406" s="28"/>
      <c r="J406" s="384">
        <f t="shared" si="170"/>
        <v>0</v>
      </c>
      <c r="K406" s="384">
        <f t="shared" si="170"/>
        <v>0</v>
      </c>
      <c r="L406" s="384">
        <f t="shared" si="170"/>
        <v>0</v>
      </c>
      <c r="M406" s="384">
        <f t="shared" si="170"/>
        <v>0</v>
      </c>
      <c r="N406" s="384">
        <f t="shared" si="170"/>
        <v>0</v>
      </c>
      <c r="O406" s="384">
        <f t="shared" si="170"/>
        <v>0</v>
      </c>
      <c r="P406" s="384">
        <f t="shared" si="170"/>
        <v>0</v>
      </c>
      <c r="Q406" s="384">
        <f t="shared" si="170"/>
        <v>0</v>
      </c>
      <c r="R406" s="384">
        <f t="shared" si="170"/>
        <v>0</v>
      </c>
      <c r="S406" s="384">
        <f t="shared" si="170"/>
        <v>0</v>
      </c>
      <c r="T406" s="384">
        <f t="shared" si="170"/>
        <v>0</v>
      </c>
      <c r="U406" s="384">
        <f t="shared" si="170"/>
        <v>0</v>
      </c>
      <c r="V406" s="384">
        <f t="shared" si="170"/>
        <v>0</v>
      </c>
      <c r="W406" s="384">
        <f t="shared" si="170"/>
        <v>0</v>
      </c>
      <c r="X406" s="384">
        <f t="shared" si="170"/>
        <v>0</v>
      </c>
      <c r="Y406" s="384">
        <f t="shared" si="170"/>
        <v>0</v>
      </c>
      <c r="Z406" s="384">
        <f t="shared" si="170"/>
        <v>0</v>
      </c>
      <c r="AA406" s="384">
        <f t="shared" si="170"/>
        <v>0</v>
      </c>
      <c r="AB406" s="384">
        <f t="shared" si="170"/>
        <v>0</v>
      </c>
      <c r="AC406" s="384">
        <f t="shared" si="170"/>
        <v>0</v>
      </c>
      <c r="AD406" s="384">
        <f t="shared" si="170"/>
        <v>0</v>
      </c>
      <c r="AE406" s="384">
        <f t="shared" si="170"/>
        <v>0</v>
      </c>
      <c r="AF406" s="384">
        <f t="shared" si="170"/>
        <v>0</v>
      </c>
      <c r="AG406" s="384">
        <f t="shared" si="170"/>
        <v>0</v>
      </c>
      <c r="AH406" s="384">
        <f t="shared" si="170"/>
        <v>0</v>
      </c>
      <c r="AI406" s="384">
        <f t="shared" si="170"/>
        <v>0</v>
      </c>
      <c r="AJ406" s="384">
        <f t="shared" si="170"/>
        <v>0</v>
      </c>
      <c r="AK406" s="384">
        <f t="shared" si="170"/>
        <v>0</v>
      </c>
      <c r="AL406" s="384">
        <f t="shared" si="170"/>
        <v>0</v>
      </c>
      <c r="AM406" s="384">
        <f t="shared" si="170"/>
        <v>0</v>
      </c>
      <c r="AN406" s="384">
        <f t="shared" si="170"/>
        <v>0</v>
      </c>
      <c r="AO406" s="384">
        <f t="shared" si="170"/>
        <v>0</v>
      </c>
    </row>
    <row r="407" spans="2:43" x14ac:dyDescent="0.35">
      <c r="C407" s="24"/>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row>
    <row r="408" spans="2:43" x14ac:dyDescent="0.35">
      <c r="B408" s="25" t="s">
        <v>1022</v>
      </c>
      <c r="C408" s="25"/>
      <c r="D408" s="25"/>
      <c r="E408" s="25"/>
      <c r="F408" s="25"/>
      <c r="G408" s="25"/>
      <c r="H408" s="25"/>
      <c r="I408" s="25"/>
      <c r="J408" s="190"/>
      <c r="K408" s="190"/>
      <c r="L408" s="190"/>
      <c r="M408" s="190"/>
      <c r="N408" s="190"/>
      <c r="O408" s="190"/>
      <c r="P408" s="190"/>
      <c r="Q408" s="190"/>
      <c r="R408" s="190"/>
      <c r="S408" s="190"/>
      <c r="T408" s="190"/>
      <c r="U408" s="190"/>
      <c r="V408" s="190"/>
      <c r="W408" s="190"/>
      <c r="X408" s="190"/>
      <c r="Y408" s="190"/>
      <c r="Z408" s="190"/>
      <c r="AA408" s="190"/>
      <c r="AB408" s="190"/>
      <c r="AC408" s="190"/>
      <c r="AD408" s="190"/>
      <c r="AE408" s="190"/>
      <c r="AF408" s="190"/>
      <c r="AG408" s="190"/>
      <c r="AH408" s="190"/>
      <c r="AI408" s="190"/>
      <c r="AJ408" s="190"/>
      <c r="AK408" s="190"/>
      <c r="AL408" s="190"/>
      <c r="AM408" s="190"/>
      <c r="AN408" s="190"/>
      <c r="AO408" s="190"/>
      <c r="AP408" s="95"/>
      <c r="AQ408" s="95"/>
    </row>
    <row r="409" spans="2:43" x14ac:dyDescent="0.35">
      <c r="C409" s="24"/>
      <c r="J409" s="13"/>
      <c r="K409" s="13"/>
      <c r="L409" s="13"/>
      <c r="M409" s="13"/>
      <c r="N409" s="322"/>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row>
    <row r="410" spans="2:43" x14ac:dyDescent="0.35">
      <c r="C410" s="26" t="str">
        <f ca="1">INDEX('Version control'!$H$38:$H$61,MATCH($A$1,'Version control'!$F$38:$F$61,0),1)&amp;"-O: Final adders"</f>
        <v>Section 116-O: Final adders</v>
      </c>
      <c r="D410" s="26"/>
      <c r="E410" s="26"/>
      <c r="F410" s="26"/>
      <c r="G410" s="26"/>
      <c r="H410" s="26"/>
      <c r="I410" s="26"/>
      <c r="J410" s="179"/>
      <c r="K410" s="179"/>
      <c r="L410" s="179"/>
      <c r="M410" s="179"/>
      <c r="N410" s="179"/>
      <c r="O410" s="179"/>
      <c r="P410" s="179"/>
      <c r="Q410" s="179"/>
      <c r="R410" s="179"/>
      <c r="S410" s="179"/>
      <c r="T410" s="179"/>
      <c r="U410" s="179"/>
      <c r="V410" s="179"/>
      <c r="W410" s="179"/>
      <c r="X410" s="179"/>
      <c r="Y410" s="179"/>
      <c r="Z410" s="179"/>
      <c r="AA410" s="179"/>
      <c r="AB410" s="179"/>
      <c r="AC410" s="179"/>
      <c r="AD410" s="179"/>
      <c r="AE410" s="179"/>
      <c r="AF410" s="179"/>
      <c r="AG410" s="179"/>
      <c r="AH410" s="179"/>
      <c r="AI410" s="179"/>
      <c r="AJ410" s="179"/>
      <c r="AK410" s="179"/>
      <c r="AL410" s="179"/>
      <c r="AM410" s="179"/>
      <c r="AN410" s="179"/>
      <c r="AO410" s="179"/>
      <c r="AP410" s="26"/>
      <c r="AQ410" s="26"/>
    </row>
    <row r="411" spans="2:43" x14ac:dyDescent="0.35">
      <c r="C411" s="24"/>
      <c r="E411" s="27"/>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row>
    <row r="412" spans="2:43" x14ac:dyDescent="0.35">
      <c r="C412" s="24"/>
      <c r="E412" s="78" t="s">
        <v>938</v>
      </c>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row>
    <row r="413" spans="2:43" x14ac:dyDescent="0.35">
      <c r="C413" s="24"/>
      <c r="F413" s="19" t="s">
        <v>156</v>
      </c>
      <c r="G413" s="19" t="s">
        <v>269</v>
      </c>
      <c r="H413" s="19"/>
      <c r="I413" s="19"/>
      <c r="J413" s="263">
        <f>J404 + J$208</f>
        <v>0</v>
      </c>
      <c r="K413" s="263">
        <f t="shared" ref="K413:AO413" si="171">K404 + K$208</f>
        <v>0</v>
      </c>
      <c r="L413" s="263">
        <f t="shared" si="171"/>
        <v>0</v>
      </c>
      <c r="M413" s="263">
        <f t="shared" si="171"/>
        <v>0</v>
      </c>
      <c r="N413" s="263">
        <f t="shared" si="171"/>
        <v>0</v>
      </c>
      <c r="O413" s="263">
        <f t="shared" si="171"/>
        <v>0</v>
      </c>
      <c r="P413" s="263">
        <f t="shared" si="171"/>
        <v>0</v>
      </c>
      <c r="Q413" s="263">
        <f t="shared" si="171"/>
        <v>0</v>
      </c>
      <c r="R413" s="263">
        <f t="shared" si="171"/>
        <v>0</v>
      </c>
      <c r="S413" s="263">
        <f t="shared" si="171"/>
        <v>0</v>
      </c>
      <c r="T413" s="263">
        <f t="shared" si="171"/>
        <v>0</v>
      </c>
      <c r="U413" s="263">
        <f t="shared" si="171"/>
        <v>0</v>
      </c>
      <c r="V413" s="263">
        <f t="shared" si="171"/>
        <v>0</v>
      </c>
      <c r="W413" s="263">
        <f t="shared" si="171"/>
        <v>0</v>
      </c>
      <c r="X413" s="263">
        <f t="shared" si="171"/>
        <v>0</v>
      </c>
      <c r="Y413" s="263">
        <f t="shared" si="171"/>
        <v>0</v>
      </c>
      <c r="Z413" s="263">
        <f t="shared" si="171"/>
        <v>0</v>
      </c>
      <c r="AA413" s="263">
        <f t="shared" si="171"/>
        <v>0</v>
      </c>
      <c r="AB413" s="263">
        <f t="shared" si="171"/>
        <v>0</v>
      </c>
      <c r="AC413" s="263">
        <f t="shared" si="171"/>
        <v>0</v>
      </c>
      <c r="AD413" s="263">
        <f t="shared" si="171"/>
        <v>0</v>
      </c>
      <c r="AE413" s="263">
        <f t="shared" si="171"/>
        <v>0</v>
      </c>
      <c r="AF413" s="263">
        <f t="shared" si="171"/>
        <v>0</v>
      </c>
      <c r="AG413" s="263">
        <f t="shared" si="171"/>
        <v>2.2376972109581792</v>
      </c>
      <c r="AH413" s="263">
        <f t="shared" si="171"/>
        <v>0</v>
      </c>
      <c r="AI413" s="263">
        <f t="shared" si="171"/>
        <v>0</v>
      </c>
      <c r="AJ413" s="263">
        <f t="shared" si="171"/>
        <v>0</v>
      </c>
      <c r="AK413" s="263">
        <f t="shared" si="171"/>
        <v>0</v>
      </c>
      <c r="AL413" s="263">
        <f t="shared" si="171"/>
        <v>0</v>
      </c>
      <c r="AM413" s="263">
        <f t="shared" si="171"/>
        <v>0</v>
      </c>
      <c r="AN413" s="263">
        <f t="shared" si="171"/>
        <v>0</v>
      </c>
      <c r="AO413" s="263">
        <f t="shared" si="171"/>
        <v>0</v>
      </c>
    </row>
    <row r="414" spans="2:43" x14ac:dyDescent="0.35">
      <c r="C414" s="24"/>
      <c r="F414" t="s">
        <v>157</v>
      </c>
      <c r="G414" t="s">
        <v>269</v>
      </c>
      <c r="J414" s="264">
        <f t="shared" ref="J414:AO415" si="172">J405 + J$208</f>
        <v>0</v>
      </c>
      <c r="K414" s="264">
        <f t="shared" si="172"/>
        <v>0</v>
      </c>
      <c r="L414" s="264">
        <f t="shared" si="172"/>
        <v>0</v>
      </c>
      <c r="M414" s="264">
        <f t="shared" si="172"/>
        <v>0</v>
      </c>
      <c r="N414" s="264">
        <f t="shared" si="172"/>
        <v>0</v>
      </c>
      <c r="O414" s="264">
        <f t="shared" si="172"/>
        <v>0</v>
      </c>
      <c r="P414" s="264">
        <f t="shared" si="172"/>
        <v>0</v>
      </c>
      <c r="Q414" s="264">
        <f t="shared" si="172"/>
        <v>0</v>
      </c>
      <c r="R414" s="264">
        <f t="shared" si="172"/>
        <v>0</v>
      </c>
      <c r="S414" s="264">
        <f t="shared" si="172"/>
        <v>0</v>
      </c>
      <c r="T414" s="264">
        <f t="shared" si="172"/>
        <v>0</v>
      </c>
      <c r="U414" s="264">
        <f t="shared" si="172"/>
        <v>0</v>
      </c>
      <c r="V414" s="264">
        <f t="shared" si="172"/>
        <v>0</v>
      </c>
      <c r="W414" s="264">
        <f t="shared" si="172"/>
        <v>0</v>
      </c>
      <c r="X414" s="264">
        <f t="shared" si="172"/>
        <v>0</v>
      </c>
      <c r="Y414" s="264">
        <f t="shared" si="172"/>
        <v>0</v>
      </c>
      <c r="Z414" s="264">
        <f t="shared" si="172"/>
        <v>0</v>
      </c>
      <c r="AA414" s="264">
        <f t="shared" si="172"/>
        <v>0</v>
      </c>
      <c r="AB414" s="264">
        <f t="shared" si="172"/>
        <v>0</v>
      </c>
      <c r="AC414" s="264">
        <f t="shared" si="172"/>
        <v>0</v>
      </c>
      <c r="AD414" s="264">
        <f t="shared" si="172"/>
        <v>0</v>
      </c>
      <c r="AE414" s="264">
        <f t="shared" si="172"/>
        <v>0</v>
      </c>
      <c r="AF414" s="264">
        <f t="shared" si="172"/>
        <v>0</v>
      </c>
      <c r="AG414" s="264">
        <f t="shared" si="172"/>
        <v>2.2376972109581792</v>
      </c>
      <c r="AH414" s="264">
        <f t="shared" si="172"/>
        <v>0</v>
      </c>
      <c r="AI414" s="264">
        <f t="shared" si="172"/>
        <v>0</v>
      </c>
      <c r="AJ414" s="264">
        <f t="shared" si="172"/>
        <v>0</v>
      </c>
      <c r="AK414" s="264">
        <f t="shared" si="172"/>
        <v>0</v>
      </c>
      <c r="AL414" s="264">
        <f t="shared" si="172"/>
        <v>0</v>
      </c>
      <c r="AM414" s="264">
        <f t="shared" si="172"/>
        <v>0</v>
      </c>
      <c r="AN414" s="264">
        <f t="shared" si="172"/>
        <v>0</v>
      </c>
      <c r="AO414" s="264">
        <f t="shared" si="172"/>
        <v>0</v>
      </c>
    </row>
    <row r="415" spans="2:43" x14ac:dyDescent="0.35">
      <c r="C415" s="24"/>
      <c r="F415" t="s">
        <v>158</v>
      </c>
      <c r="G415" t="s">
        <v>269</v>
      </c>
      <c r="J415" s="265">
        <f t="shared" si="172"/>
        <v>0</v>
      </c>
      <c r="K415" s="265">
        <f t="shared" si="172"/>
        <v>0</v>
      </c>
      <c r="L415" s="265">
        <f t="shared" si="172"/>
        <v>0</v>
      </c>
      <c r="M415" s="265">
        <f t="shared" si="172"/>
        <v>0</v>
      </c>
      <c r="N415" s="265">
        <f t="shared" si="172"/>
        <v>0</v>
      </c>
      <c r="O415" s="265">
        <f t="shared" si="172"/>
        <v>0</v>
      </c>
      <c r="P415" s="265">
        <f t="shared" si="172"/>
        <v>0</v>
      </c>
      <c r="Q415" s="265">
        <f t="shared" si="172"/>
        <v>0</v>
      </c>
      <c r="R415" s="265">
        <f t="shared" si="172"/>
        <v>0</v>
      </c>
      <c r="S415" s="265">
        <f t="shared" si="172"/>
        <v>0</v>
      </c>
      <c r="T415" s="265">
        <f t="shared" si="172"/>
        <v>0</v>
      </c>
      <c r="U415" s="265">
        <f t="shared" si="172"/>
        <v>0</v>
      </c>
      <c r="V415" s="265">
        <f t="shared" si="172"/>
        <v>0</v>
      </c>
      <c r="W415" s="265">
        <f t="shared" si="172"/>
        <v>0</v>
      </c>
      <c r="X415" s="265">
        <f t="shared" si="172"/>
        <v>0</v>
      </c>
      <c r="Y415" s="265">
        <f t="shared" si="172"/>
        <v>0</v>
      </c>
      <c r="Z415" s="265">
        <f t="shared" si="172"/>
        <v>0</v>
      </c>
      <c r="AA415" s="265">
        <f t="shared" si="172"/>
        <v>0</v>
      </c>
      <c r="AB415" s="265">
        <f t="shared" si="172"/>
        <v>0</v>
      </c>
      <c r="AC415" s="265">
        <f t="shared" si="172"/>
        <v>0</v>
      </c>
      <c r="AD415" s="265">
        <f t="shared" si="172"/>
        <v>0</v>
      </c>
      <c r="AE415" s="265">
        <f t="shared" si="172"/>
        <v>0</v>
      </c>
      <c r="AF415" s="265">
        <f t="shared" si="172"/>
        <v>0</v>
      </c>
      <c r="AG415" s="265">
        <f t="shared" si="172"/>
        <v>2.2376972109581792</v>
      </c>
      <c r="AH415" s="265">
        <f t="shared" si="172"/>
        <v>0</v>
      </c>
      <c r="AI415" s="265">
        <f t="shared" si="172"/>
        <v>0</v>
      </c>
      <c r="AJ415" s="265">
        <f t="shared" si="172"/>
        <v>0</v>
      </c>
      <c r="AK415" s="265">
        <f t="shared" si="172"/>
        <v>0</v>
      </c>
      <c r="AL415" s="265">
        <f t="shared" si="172"/>
        <v>0</v>
      </c>
      <c r="AM415" s="265">
        <f t="shared" si="172"/>
        <v>0</v>
      </c>
      <c r="AN415" s="265">
        <f t="shared" si="172"/>
        <v>0</v>
      </c>
      <c r="AO415" s="265">
        <f t="shared" si="172"/>
        <v>0</v>
      </c>
    </row>
    <row r="416" spans="2:43" x14ac:dyDescent="0.35">
      <c r="C416" s="24"/>
      <c r="F416" t="s">
        <v>159</v>
      </c>
      <c r="G416" t="s">
        <v>270</v>
      </c>
      <c r="J416" s="189">
        <f t="shared" ref="J416:AO416" si="173">J225</f>
        <v>19.566367376138896</v>
      </c>
      <c r="K416" s="189">
        <f t="shared" si="173"/>
        <v>0</v>
      </c>
      <c r="L416" s="189">
        <f t="shared" si="173"/>
        <v>0</v>
      </c>
      <c r="M416" s="189">
        <f t="shared" si="173"/>
        <v>18.162421789532228</v>
      </c>
      <c r="N416" s="189">
        <f t="shared" si="173"/>
        <v>49.716501852375721</v>
      </c>
      <c r="O416" s="189">
        <f t="shared" si="173"/>
        <v>110.09821081140377</v>
      </c>
      <c r="P416" s="189">
        <f t="shared" si="173"/>
        <v>309.6182299796119</v>
      </c>
      <c r="Q416" s="189">
        <f t="shared" si="173"/>
        <v>0</v>
      </c>
      <c r="R416" s="189">
        <f t="shared" si="173"/>
        <v>0</v>
      </c>
      <c r="S416" s="189">
        <f t="shared" si="173"/>
        <v>554.07650295971166</v>
      </c>
      <c r="T416" s="189">
        <f t="shared" si="173"/>
        <v>929.63695280862487</v>
      </c>
      <c r="U416" s="189">
        <f t="shared" si="173"/>
        <v>1571.4963892141839</v>
      </c>
      <c r="V416" s="189">
        <f t="shared" si="173"/>
        <v>3977.970209086955</v>
      </c>
      <c r="W416" s="189">
        <f t="shared" si="173"/>
        <v>0</v>
      </c>
      <c r="X416" s="189">
        <f t="shared" si="173"/>
        <v>554.07650295971166</v>
      </c>
      <c r="Y416" s="189">
        <f t="shared" si="173"/>
        <v>929.63695280862498</v>
      </c>
      <c r="Z416" s="189">
        <f t="shared" si="173"/>
        <v>1571.4963892141841</v>
      </c>
      <c r="AA416" s="189">
        <f t="shared" si="173"/>
        <v>3977.9702090869537</v>
      </c>
      <c r="AB416" s="189">
        <f t="shared" si="173"/>
        <v>0</v>
      </c>
      <c r="AC416" s="189">
        <f t="shared" si="173"/>
        <v>3130.7357410142376</v>
      </c>
      <c r="AD416" s="189">
        <f t="shared" si="173"/>
        <v>8112.2647865919216</v>
      </c>
      <c r="AE416" s="189">
        <f t="shared" si="173"/>
        <v>15890.573089089472</v>
      </c>
      <c r="AF416" s="189">
        <f t="shared" si="173"/>
        <v>40886.31163561032</v>
      </c>
      <c r="AG416" s="189">
        <f t="shared" si="173"/>
        <v>0</v>
      </c>
      <c r="AH416" s="189">
        <f t="shared" si="173"/>
        <v>0</v>
      </c>
      <c r="AI416" s="189">
        <f t="shared" si="173"/>
        <v>0</v>
      </c>
      <c r="AJ416" s="189">
        <f t="shared" si="173"/>
        <v>0</v>
      </c>
      <c r="AK416" s="189">
        <f t="shared" si="173"/>
        <v>0</v>
      </c>
      <c r="AL416" s="189">
        <f t="shared" si="173"/>
        <v>0</v>
      </c>
      <c r="AM416" s="189">
        <f t="shared" si="173"/>
        <v>0</v>
      </c>
      <c r="AN416" s="189">
        <f t="shared" si="173"/>
        <v>0</v>
      </c>
      <c r="AO416" s="189">
        <f t="shared" si="173"/>
        <v>0</v>
      </c>
    </row>
    <row r="417" spans="2:43" x14ac:dyDescent="0.35">
      <c r="C417" s="24"/>
      <c r="E417" s="23"/>
      <c r="F417" t="s">
        <v>160</v>
      </c>
      <c r="G417" t="s">
        <v>271</v>
      </c>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56"/>
      <c r="AL417" s="56"/>
      <c r="AM417" s="56"/>
      <c r="AN417" s="56"/>
      <c r="AO417" s="56"/>
    </row>
    <row r="418" spans="2:43" x14ac:dyDescent="0.35">
      <c r="C418" s="24"/>
      <c r="F418" t="s">
        <v>161</v>
      </c>
      <c r="G418" t="s">
        <v>271</v>
      </c>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56"/>
      <c r="AL418" s="56"/>
      <c r="AM418" s="56"/>
      <c r="AN418" s="56"/>
      <c r="AO418" s="56"/>
    </row>
    <row r="419" spans="2:43" x14ac:dyDescent="0.35">
      <c r="C419" s="24"/>
      <c r="E419" s="23"/>
      <c r="F419" s="28" t="s">
        <v>162</v>
      </c>
      <c r="G419" s="28" t="s">
        <v>272</v>
      </c>
      <c r="H419" s="28"/>
      <c r="I419" s="28"/>
      <c r="J419" s="58"/>
      <c r="K419" s="58"/>
      <c r="L419" s="58"/>
      <c r="M419" s="58"/>
      <c r="N419" s="58"/>
      <c r="O419" s="58"/>
      <c r="P419" s="58"/>
      <c r="Q419" s="58"/>
      <c r="R419" s="58"/>
      <c r="S419" s="58"/>
      <c r="T419" s="58"/>
      <c r="U419" s="58"/>
      <c r="V419" s="58"/>
      <c r="W419" s="58"/>
      <c r="X419" s="58"/>
      <c r="Y419" s="58"/>
      <c r="Z419" s="58"/>
      <c r="AA419" s="58"/>
      <c r="AB419" s="58"/>
      <c r="AC419" s="58"/>
      <c r="AD419" s="58"/>
      <c r="AE419" s="58"/>
      <c r="AF419" s="58"/>
      <c r="AG419" s="58"/>
      <c r="AH419" s="58"/>
      <c r="AI419" s="58"/>
      <c r="AJ419" s="58"/>
      <c r="AK419" s="58"/>
      <c r="AL419" s="58"/>
      <c r="AM419" s="58"/>
      <c r="AN419" s="58"/>
      <c r="AO419" s="58"/>
    </row>
    <row r="420" spans="2:43" x14ac:dyDescent="0.35">
      <c r="C420" s="24"/>
    </row>
    <row r="421" spans="2:43" x14ac:dyDescent="0.35">
      <c r="B421" s="25" t="s">
        <v>231</v>
      </c>
      <c r="C421" s="25"/>
      <c r="D421" s="25"/>
      <c r="E421" s="25"/>
      <c r="F421" s="25"/>
      <c r="G421" s="25"/>
      <c r="H421" s="25"/>
      <c r="I421" s="25"/>
      <c r="J421" s="190"/>
      <c r="K421" s="190"/>
      <c r="L421" s="190"/>
      <c r="M421" s="190"/>
      <c r="N421" s="190"/>
      <c r="O421" s="190"/>
      <c r="P421" s="190"/>
      <c r="Q421" s="190"/>
      <c r="R421" s="190"/>
      <c r="S421" s="190"/>
      <c r="T421" s="190"/>
      <c r="U421" s="190"/>
      <c r="V421" s="190"/>
      <c r="W421" s="190"/>
      <c r="X421" s="190"/>
      <c r="Y421" s="190"/>
      <c r="Z421" s="190"/>
      <c r="AA421" s="190"/>
      <c r="AB421" s="190"/>
      <c r="AC421" s="190"/>
      <c r="AD421" s="190"/>
      <c r="AE421" s="190"/>
      <c r="AF421" s="190"/>
      <c r="AG421" s="190"/>
      <c r="AH421" s="190"/>
      <c r="AI421" s="190"/>
      <c r="AJ421" s="190"/>
      <c r="AK421" s="190"/>
      <c r="AL421" s="190"/>
      <c r="AM421" s="190"/>
      <c r="AN421" s="190"/>
      <c r="AO421" s="190"/>
      <c r="AP421" s="95"/>
      <c r="AQ421" s="95"/>
    </row>
    <row r="422" spans="2:43" x14ac:dyDescent="0.35">
      <c r="C422" s="24"/>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row>
    <row r="423" spans="2:43" x14ac:dyDescent="0.35">
      <c r="C423" s="24"/>
      <c r="E423" s="23" t="s">
        <v>1105</v>
      </c>
      <c r="F423" s="23"/>
      <c r="G423" t="s">
        <v>931</v>
      </c>
      <c r="H423" s="79">
        <f>SUM(J423:AO423)</f>
        <v>0</v>
      </c>
      <c r="J423" s="153">
        <f t="shared" ref="J423:AO423" si="174">SUMPRODUCT(J399:J401,J283:J285)*thousand/hundred</f>
        <v>0</v>
      </c>
      <c r="K423" s="153">
        <f t="shared" si="174"/>
        <v>0</v>
      </c>
      <c r="L423" s="153">
        <f t="shared" si="174"/>
        <v>0</v>
      </c>
      <c r="M423" s="153">
        <f t="shared" si="174"/>
        <v>0</v>
      </c>
      <c r="N423" s="153">
        <f t="shared" si="174"/>
        <v>0</v>
      </c>
      <c r="O423" s="153">
        <f t="shared" si="174"/>
        <v>0</v>
      </c>
      <c r="P423" s="153">
        <f t="shared" si="174"/>
        <v>0</v>
      </c>
      <c r="Q423" s="153">
        <f t="shared" si="174"/>
        <v>0</v>
      </c>
      <c r="R423" s="153">
        <f t="shared" si="174"/>
        <v>0</v>
      </c>
      <c r="S423" s="153">
        <f t="shared" si="174"/>
        <v>0</v>
      </c>
      <c r="T423" s="153">
        <f t="shared" si="174"/>
        <v>0</v>
      </c>
      <c r="U423" s="153">
        <f t="shared" si="174"/>
        <v>0</v>
      </c>
      <c r="V423" s="153">
        <f t="shared" si="174"/>
        <v>0</v>
      </c>
      <c r="W423" s="153">
        <f t="shared" si="174"/>
        <v>0</v>
      </c>
      <c r="X423" s="153">
        <f t="shared" si="174"/>
        <v>0</v>
      </c>
      <c r="Y423" s="153">
        <f t="shared" si="174"/>
        <v>0</v>
      </c>
      <c r="Z423" s="153">
        <f t="shared" si="174"/>
        <v>0</v>
      </c>
      <c r="AA423" s="153">
        <f t="shared" si="174"/>
        <v>0</v>
      </c>
      <c r="AB423" s="153">
        <f t="shared" si="174"/>
        <v>0</v>
      </c>
      <c r="AC423" s="153">
        <f t="shared" si="174"/>
        <v>0</v>
      </c>
      <c r="AD423" s="153">
        <f t="shared" si="174"/>
        <v>0</v>
      </c>
      <c r="AE423" s="153">
        <f t="shared" si="174"/>
        <v>0</v>
      </c>
      <c r="AF423" s="153">
        <f t="shared" si="174"/>
        <v>0</v>
      </c>
      <c r="AG423" s="153">
        <f t="shared" si="174"/>
        <v>0</v>
      </c>
      <c r="AH423" s="153">
        <f t="shared" si="174"/>
        <v>0</v>
      </c>
      <c r="AI423" s="153">
        <f t="shared" si="174"/>
        <v>0</v>
      </c>
      <c r="AJ423" s="153">
        <f t="shared" si="174"/>
        <v>0</v>
      </c>
      <c r="AK423" s="153">
        <f t="shared" si="174"/>
        <v>0</v>
      </c>
      <c r="AL423" s="153">
        <f t="shared" si="174"/>
        <v>0</v>
      </c>
      <c r="AM423" s="153">
        <f t="shared" si="174"/>
        <v>0</v>
      </c>
      <c r="AN423" s="153">
        <f t="shared" si="174"/>
        <v>0</v>
      </c>
      <c r="AO423" s="153">
        <f t="shared" si="174"/>
        <v>0</v>
      </c>
    </row>
    <row r="424" spans="2:43" x14ac:dyDescent="0.35">
      <c r="C424" s="24"/>
      <c r="E424" s="23"/>
      <c r="F424" s="2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row>
    <row r="425" spans="2:43" x14ac:dyDescent="0.35">
      <c r="C425" s="24"/>
      <c r="E425" s="23" t="s">
        <v>1106</v>
      </c>
      <c r="F425" s="23"/>
      <c r="G425" t="s">
        <v>931</v>
      </c>
      <c r="H425" s="79">
        <f>SUM(J425:AO425)</f>
        <v>0</v>
      </c>
      <c r="J425" s="153">
        <f t="shared" ref="J425:AO425" si="175">J229</f>
        <v>0</v>
      </c>
      <c r="K425" s="153">
        <f t="shared" si="175"/>
        <v>0</v>
      </c>
      <c r="L425" s="153">
        <f t="shared" si="175"/>
        <v>0</v>
      </c>
      <c r="M425" s="153">
        <f t="shared" si="175"/>
        <v>0</v>
      </c>
      <c r="N425" s="153">
        <f t="shared" si="175"/>
        <v>0</v>
      </c>
      <c r="O425" s="153">
        <f t="shared" si="175"/>
        <v>0</v>
      </c>
      <c r="P425" s="153">
        <f t="shared" si="175"/>
        <v>0</v>
      </c>
      <c r="Q425" s="153">
        <f t="shared" si="175"/>
        <v>0</v>
      </c>
      <c r="R425" s="153">
        <f t="shared" si="175"/>
        <v>0</v>
      </c>
      <c r="S425" s="153">
        <f t="shared" si="175"/>
        <v>0</v>
      </c>
      <c r="T425" s="153">
        <f t="shared" si="175"/>
        <v>0</v>
      </c>
      <c r="U425" s="153">
        <f t="shared" si="175"/>
        <v>0</v>
      </c>
      <c r="V425" s="153">
        <f t="shared" si="175"/>
        <v>0</v>
      </c>
      <c r="W425" s="153">
        <f t="shared" si="175"/>
        <v>0</v>
      </c>
      <c r="X425" s="153">
        <f t="shared" si="175"/>
        <v>0</v>
      </c>
      <c r="Y425" s="153">
        <f t="shared" si="175"/>
        <v>0</v>
      </c>
      <c r="Z425" s="153">
        <f t="shared" si="175"/>
        <v>0</v>
      </c>
      <c r="AA425" s="153">
        <f t="shared" si="175"/>
        <v>0</v>
      </c>
      <c r="AB425" s="153">
        <f t="shared" si="175"/>
        <v>0</v>
      </c>
      <c r="AC425" s="153">
        <f t="shared" si="175"/>
        <v>0</v>
      </c>
      <c r="AD425" s="153">
        <f t="shared" si="175"/>
        <v>0</v>
      </c>
      <c r="AE425" s="153">
        <f t="shared" si="175"/>
        <v>0</v>
      </c>
      <c r="AF425" s="153">
        <f t="shared" si="175"/>
        <v>0</v>
      </c>
      <c r="AG425" s="153">
        <f t="shared" si="175"/>
        <v>0</v>
      </c>
      <c r="AH425" s="153">
        <f t="shared" si="175"/>
        <v>0</v>
      </c>
      <c r="AI425" s="153">
        <f t="shared" si="175"/>
        <v>0</v>
      </c>
      <c r="AJ425" s="153">
        <f t="shared" si="175"/>
        <v>0</v>
      </c>
      <c r="AK425" s="153">
        <f t="shared" si="175"/>
        <v>0</v>
      </c>
      <c r="AL425" s="153">
        <f t="shared" si="175"/>
        <v>0</v>
      </c>
      <c r="AM425" s="153">
        <f t="shared" si="175"/>
        <v>0</v>
      </c>
      <c r="AN425" s="153">
        <f t="shared" si="175"/>
        <v>0</v>
      </c>
      <c r="AO425" s="153">
        <f t="shared" si="175"/>
        <v>0</v>
      </c>
    </row>
    <row r="426" spans="2:43" x14ac:dyDescent="0.35">
      <c r="C426" s="24"/>
      <c r="E426" s="23"/>
      <c r="F426" s="2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row>
    <row r="427" spans="2:43" x14ac:dyDescent="0.35">
      <c r="C427" s="24"/>
      <c r="E427" s="23" t="s">
        <v>1107</v>
      </c>
      <c r="F427" s="23"/>
      <c r="G427" t="s">
        <v>907</v>
      </c>
      <c r="H427" s="177">
        <f>COUNTIF(J427:AO427, FALSE)</f>
        <v>0</v>
      </c>
      <c r="J427" s="13" t="b">
        <f t="shared" ref="J427:AO427" si="176">ROUND(J423, check_decimals)=ROUND(J425, check_decimals)</f>
        <v>1</v>
      </c>
      <c r="K427" s="13" t="b">
        <f t="shared" si="176"/>
        <v>1</v>
      </c>
      <c r="L427" s="13" t="b">
        <f t="shared" si="176"/>
        <v>1</v>
      </c>
      <c r="M427" s="13" t="b">
        <f t="shared" si="176"/>
        <v>1</v>
      </c>
      <c r="N427" s="13" t="b">
        <f t="shared" si="176"/>
        <v>1</v>
      </c>
      <c r="O427" s="13" t="b">
        <f t="shared" si="176"/>
        <v>1</v>
      </c>
      <c r="P427" s="13" t="b">
        <f t="shared" si="176"/>
        <v>1</v>
      </c>
      <c r="Q427" s="13" t="b">
        <f t="shared" si="176"/>
        <v>1</v>
      </c>
      <c r="R427" s="13" t="b">
        <f t="shared" si="176"/>
        <v>1</v>
      </c>
      <c r="S427" s="13" t="b">
        <f t="shared" si="176"/>
        <v>1</v>
      </c>
      <c r="T427" s="13" t="b">
        <f t="shared" si="176"/>
        <v>1</v>
      </c>
      <c r="U427" s="13" t="b">
        <f t="shared" si="176"/>
        <v>1</v>
      </c>
      <c r="V427" s="13" t="b">
        <f t="shared" si="176"/>
        <v>1</v>
      </c>
      <c r="W427" s="13" t="b">
        <f t="shared" si="176"/>
        <v>1</v>
      </c>
      <c r="X427" s="13" t="b">
        <f t="shared" si="176"/>
        <v>1</v>
      </c>
      <c r="Y427" s="13" t="b">
        <f t="shared" si="176"/>
        <v>1</v>
      </c>
      <c r="Z427" s="13" t="b">
        <f t="shared" si="176"/>
        <v>1</v>
      </c>
      <c r="AA427" s="13" t="b">
        <f t="shared" si="176"/>
        <v>1</v>
      </c>
      <c r="AB427" s="13" t="b">
        <f t="shared" si="176"/>
        <v>1</v>
      </c>
      <c r="AC427" s="13" t="b">
        <f t="shared" si="176"/>
        <v>1</v>
      </c>
      <c r="AD427" s="13" t="b">
        <f t="shared" si="176"/>
        <v>1</v>
      </c>
      <c r="AE427" s="13" t="b">
        <f t="shared" si="176"/>
        <v>1</v>
      </c>
      <c r="AF427" s="13" t="b">
        <f t="shared" si="176"/>
        <v>1</v>
      </c>
      <c r="AG427" s="13" t="b">
        <f t="shared" si="176"/>
        <v>1</v>
      </c>
      <c r="AH427" s="13" t="b">
        <f t="shared" si="176"/>
        <v>1</v>
      </c>
      <c r="AI427" s="13" t="b">
        <f t="shared" si="176"/>
        <v>1</v>
      </c>
      <c r="AJ427" s="13" t="b">
        <f t="shared" si="176"/>
        <v>1</v>
      </c>
      <c r="AK427" s="13" t="b">
        <f t="shared" si="176"/>
        <v>1</v>
      </c>
      <c r="AL427" s="13" t="b">
        <f t="shared" si="176"/>
        <v>1</v>
      </c>
      <c r="AM427" s="13" t="b">
        <f t="shared" si="176"/>
        <v>1</v>
      </c>
      <c r="AN427" s="13" t="b">
        <f t="shared" si="176"/>
        <v>1</v>
      </c>
      <c r="AO427" s="13" t="b">
        <f t="shared" si="176"/>
        <v>1</v>
      </c>
    </row>
    <row r="428" spans="2:43" x14ac:dyDescent="0.35">
      <c r="C428" s="24"/>
      <c r="E428" s="23"/>
      <c r="F428" s="2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row>
    <row r="429" spans="2:43" x14ac:dyDescent="0.35">
      <c r="C429" s="24"/>
      <c r="E429" s="23" t="s">
        <v>1108</v>
      </c>
      <c r="G429" s="6" t="s">
        <v>55</v>
      </c>
      <c r="H429" s="177">
        <f>COUNTIF(J376:AO376,FALSE)</f>
        <v>0</v>
      </c>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row>
    <row r="430" spans="2:43" x14ac:dyDescent="0.35">
      <c r="C430" s="24"/>
      <c r="E430" s="23"/>
      <c r="G430" s="6"/>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row>
    <row r="431" spans="2:43" x14ac:dyDescent="0.35">
      <c r="C431" s="24"/>
      <c r="E431" t="s">
        <v>232</v>
      </c>
      <c r="G431" s="6" t="s">
        <v>55</v>
      </c>
      <c r="H431" s="177">
        <f t="array" ref="H431">SUM(IF(ISERROR(H35:AO420), 1))</f>
        <v>0</v>
      </c>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row>
    <row r="432" spans="2:43" x14ac:dyDescent="0.35">
      <c r="C432" s="24"/>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row>
    <row r="433" spans="2:43" x14ac:dyDescent="0.35">
      <c r="C433" s="24"/>
      <c r="E433" s="23" t="s">
        <v>937</v>
      </c>
      <c r="G433" s="6" t="s">
        <v>55</v>
      </c>
      <c r="H433" s="93">
        <f>H427+H429+H431</f>
        <v>0</v>
      </c>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row>
    <row r="434" spans="2:43" x14ac:dyDescent="0.35">
      <c r="C434" s="24"/>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row>
    <row r="435" spans="2:43" x14ac:dyDescent="0.35">
      <c r="B435" s="25" t="s">
        <v>106</v>
      </c>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95"/>
      <c r="AQ435" s="95"/>
    </row>
  </sheetData>
  <sheetProtection sheet="1" objects="1" formatCells="0" formatColumns="0" formatRows="0" sort="0" autoFilter="0"/>
  <phoneticPr fontId="39" type="noConversion"/>
  <conditionalFormatting sqref="A4:I4 AP4:XFD4">
    <cfRule type="expression" dxfId="36" priority="19">
      <formula>LEFT($A$4,1) &lt;&gt; "0"</formula>
    </cfRule>
  </conditionalFormatting>
  <conditionalFormatting sqref="R4:AF4">
    <cfRule type="expression" dxfId="35" priority="18">
      <formula>LEFT($A$4,1) &lt;&gt; "0"</formula>
    </cfRule>
  </conditionalFormatting>
  <conditionalFormatting sqref="L4:Q4">
    <cfRule type="expression" dxfId="34" priority="17">
      <formula>LEFT($A$4,1) &lt;&gt; "0"</formula>
    </cfRule>
  </conditionalFormatting>
  <conditionalFormatting sqref="J4:K4">
    <cfRule type="expression" dxfId="33" priority="16">
      <formula>LEFT($A$4,1) &lt;&gt; "0"</formula>
    </cfRule>
  </conditionalFormatting>
  <conditionalFormatting sqref="AG4">
    <cfRule type="expression" dxfId="32" priority="15">
      <formula>LEFT($A$4,1) &lt;&gt; "0"</formula>
    </cfRule>
  </conditionalFormatting>
  <conditionalFormatting sqref="AH4:AI4">
    <cfRule type="expression" dxfId="31" priority="14">
      <formula>LEFT($A$4,1) &lt;&gt; "0"</formula>
    </cfRule>
  </conditionalFormatting>
  <conditionalFormatting sqref="AJ4:AK4">
    <cfRule type="expression" dxfId="30" priority="13">
      <formula>LEFT($A$4,1) &lt;&gt; "0"</formula>
    </cfRule>
  </conditionalFormatting>
  <conditionalFormatting sqref="AL4:AM4">
    <cfRule type="expression" dxfId="29" priority="12">
      <formula>LEFT($A$4,1) &lt;&gt; "0"</formula>
    </cfRule>
  </conditionalFormatting>
  <conditionalFormatting sqref="AN4:AO4">
    <cfRule type="expression" dxfId="28" priority="11">
      <formula>LEFT($A$4,1) &lt;&gt; "0"</formula>
    </cfRule>
  </conditionalFormatting>
  <conditionalFormatting sqref="H427">
    <cfRule type="cellIs" dxfId="27" priority="4" operator="greaterThan">
      <formula>0</formula>
    </cfRule>
  </conditionalFormatting>
  <conditionalFormatting sqref="H429">
    <cfRule type="cellIs" dxfId="26" priority="3" operator="greaterThan">
      <formula>0</formula>
    </cfRule>
  </conditionalFormatting>
  <conditionalFormatting sqref="H431">
    <cfRule type="cellIs" dxfId="25" priority="2" operator="greaterThan">
      <formula>0</formula>
    </cfRule>
  </conditionalFormatting>
  <conditionalFormatting sqref="H433">
    <cfRule type="cellIs" dxfId="24" priority="1" operator="greaterThan">
      <formula>0</formula>
    </cfRule>
  </conditionalFormatting>
  <hyperlinks>
    <hyperlink ref="B5:F5" location="'Model map'!A1" display="Click here to return to model map" xr:uid="{00000000-0004-0000-1700-000000000000}"/>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41" width="17" customWidth="1"/>
    <col min="42" max="42" width="2.453125" customWidth="1"/>
    <col min="43" max="43" width="50.54296875" customWidth="1"/>
    <col min="44" max="44" width="2.453125" customWidth="1"/>
    <col min="45" max="45" width="24.54296875" hidden="1" customWidth="1"/>
    <col min="46" max="46" width="3.54296875" hidden="1" customWidth="1"/>
    <col min="47" max="47" width="15.453125" hidden="1" customWidth="1"/>
    <col min="48" max="336" width="24.54296875" hidden="1" customWidth="1"/>
    <col min="337" max="16384" width="8.54296875" hidden="1"/>
  </cols>
  <sheetData>
    <row r="1" spans="1:43" s="1" customFormat="1" x14ac:dyDescent="0.35">
      <c r="A1" s="1" t="str">
        <f ca="1">MID(CELL("filename",A1),FIND("]",CELL("filename",A1))+1,255)</f>
        <v>Rounding</v>
      </c>
    </row>
    <row r="2" spans="1:43" s="1" customFormat="1" x14ac:dyDescent="0.35">
      <c r="A2" s="1" t="str">
        <f>Cover!D21&amp;" - "&amp;Cover!D23</f>
        <v>Southern Electric Power Distribution - Final</v>
      </c>
    </row>
    <row r="3" spans="1:43" s="5" customFormat="1" x14ac:dyDescent="0.35">
      <c r="A3" s="5" t="str">
        <f>Cover!D2&amp;" - "&amp;Cover!D8&amp;" v"&amp;Cover!D10&amp;" - "&amp;Cover!D19</f>
        <v>CDCM charging model - Release for charge setting v9 - 2024/25</v>
      </c>
    </row>
    <row r="4" spans="1:43" x14ac:dyDescent="0.35">
      <c r="A4" s="11" t="str">
        <f>H178 &amp; IF(H178 = 1, " issue", " issues") &amp;" identified in checks on this sheet"</f>
        <v>0 issues identified in checks on this sheet</v>
      </c>
      <c r="B4" s="12"/>
      <c r="C4" s="12"/>
      <c r="D4" s="12"/>
      <c r="E4" s="12"/>
      <c r="F4" s="12"/>
      <c r="G4" s="12"/>
      <c r="H4" s="13"/>
      <c r="I4" s="13"/>
    </row>
    <row r="5" spans="1:43" ht="43.5" x14ac:dyDescent="0.35">
      <c r="B5" s="49" t="s">
        <v>142</v>
      </c>
      <c r="C5" s="50"/>
      <c r="D5" s="50"/>
      <c r="E5" s="50"/>
      <c r="F5" s="50"/>
      <c r="G5" s="51" t="s">
        <v>143</v>
      </c>
      <c r="H5" s="52"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7" spans="1:43" x14ac:dyDescent="0.3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35">
      <c r="C9" s="24" t="s">
        <v>741</v>
      </c>
      <c r="E9"/>
    </row>
    <row r="10" spans="1:43" x14ac:dyDescent="0.35">
      <c r="C10" s="24" t="s">
        <v>742</v>
      </c>
      <c r="E10"/>
    </row>
    <row r="12" spans="1:43" x14ac:dyDescent="0.35">
      <c r="B12" s="25" t="s">
        <v>743</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row>
    <row r="14" spans="1:43" x14ac:dyDescent="0.35">
      <c r="C14" s="24" t="s">
        <v>744</v>
      </c>
    </row>
    <row r="16" spans="1:43" x14ac:dyDescent="0.35">
      <c r="C16" s="26" t="str">
        <f ca="1">INDEX('Version control'!$H$38:$H$61,MATCH($A$1,'Version control'!$F$38:$F$61,0),1)&amp;"-A: Pre-match, pre-rounding tariff forecast"</f>
        <v>Section 117-A: Pre-match, pre-rounding tariff forecast</v>
      </c>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row>
    <row r="18" spans="3:43" x14ac:dyDescent="0.35">
      <c r="E18" s="27" t="s">
        <v>745</v>
      </c>
      <c r="F18" s="27"/>
    </row>
    <row r="19" spans="3:43" x14ac:dyDescent="0.35">
      <c r="E19" s="24" t="s">
        <v>746</v>
      </c>
      <c r="F19" s="2"/>
    </row>
    <row r="20" spans="3:43" x14ac:dyDescent="0.35">
      <c r="C20" s="78"/>
      <c r="F20" s="19" t="s">
        <v>156</v>
      </c>
      <c r="G20" s="19" t="s">
        <v>269</v>
      </c>
      <c r="H20" s="267"/>
      <c r="I20" s="255"/>
      <c r="J20" s="267">
        <f>'Revenue matching'!J40</f>
        <v>9.3171116944398857</v>
      </c>
      <c r="K20" s="267">
        <f>'Revenue matching'!K40</f>
        <v>9.3171116944398857</v>
      </c>
      <c r="L20" s="267">
        <f>'Revenue matching'!L40</f>
        <v>8.7153701226779656</v>
      </c>
      <c r="M20" s="267">
        <f>'Revenue matching'!M40</f>
        <v>8.7153701226779656</v>
      </c>
      <c r="N20" s="267">
        <f>'Revenue matching'!N40</f>
        <v>8.7153701226779656</v>
      </c>
      <c r="O20" s="267">
        <f>'Revenue matching'!O40</f>
        <v>8.7153701226779656</v>
      </c>
      <c r="P20" s="267">
        <f>'Revenue matching'!P40</f>
        <v>8.7153701226779656</v>
      </c>
      <c r="Q20" s="267">
        <f>'Revenue matching'!Q40</f>
        <v>8.7153701226779656</v>
      </c>
      <c r="R20" s="267">
        <f>'Revenue matching'!R40</f>
        <v>6.8094647784894793</v>
      </c>
      <c r="S20" s="267">
        <f>'Revenue matching'!S40</f>
        <v>6.8094647784894793</v>
      </c>
      <c r="T20" s="267">
        <f>'Revenue matching'!T40</f>
        <v>6.8094647784894793</v>
      </c>
      <c r="U20" s="267">
        <f>'Revenue matching'!U40</f>
        <v>6.8094647784894793</v>
      </c>
      <c r="V20" s="267">
        <f>'Revenue matching'!V40</f>
        <v>6.8094647784894793</v>
      </c>
      <c r="W20" s="267">
        <f>'Revenue matching'!W40</f>
        <v>4.5451823626979291</v>
      </c>
      <c r="X20" s="267">
        <f>'Revenue matching'!X40</f>
        <v>4.5451823626979291</v>
      </c>
      <c r="Y20" s="267">
        <f>'Revenue matching'!Y40</f>
        <v>4.5451823626979291</v>
      </c>
      <c r="Z20" s="267">
        <f>'Revenue matching'!Z40</f>
        <v>4.5451823626979291</v>
      </c>
      <c r="AA20" s="267">
        <f>'Revenue matching'!AA40</f>
        <v>4.5451823626979291</v>
      </c>
      <c r="AB20" s="267">
        <f>'Revenue matching'!AB40</f>
        <v>3.6111056246732378</v>
      </c>
      <c r="AC20" s="267">
        <f>'Revenue matching'!AC40</f>
        <v>3.6111056246732378</v>
      </c>
      <c r="AD20" s="267">
        <f>'Revenue matching'!AD40</f>
        <v>3.6111056246732378</v>
      </c>
      <c r="AE20" s="267">
        <f>'Revenue matching'!AE40</f>
        <v>3.6111056246732378</v>
      </c>
      <c r="AF20" s="267">
        <f>'Revenue matching'!AF40</f>
        <v>3.6111056246732378</v>
      </c>
      <c r="AG20" s="267">
        <f>'Revenue matching'!AG40</f>
        <v>25.14626087817571</v>
      </c>
      <c r="AH20" s="267">
        <f>'Revenue matching'!AH40</f>
        <v>-6.4671088642966206</v>
      </c>
      <c r="AI20" s="267">
        <f>'Revenue matching'!AI40</f>
        <v>-5.7431990235840562</v>
      </c>
      <c r="AJ20" s="267">
        <f>'Revenue matching'!AJ40</f>
        <v>-6.4671088642966206</v>
      </c>
      <c r="AK20" s="267">
        <f>'Revenue matching'!AK40</f>
        <v>-6.4671088642966206</v>
      </c>
      <c r="AL20" s="267">
        <f>'Revenue matching'!AL40</f>
        <v>-5.7431990235840562</v>
      </c>
      <c r="AM20" s="267">
        <f>'Revenue matching'!AM40</f>
        <v>-5.7431990235840562</v>
      </c>
      <c r="AN20" s="267">
        <f>'Revenue matching'!AN40</f>
        <v>-4.4077410438205549</v>
      </c>
      <c r="AO20" s="267">
        <f>'Revenue matching'!AO40</f>
        <v>-4.4077410438205549</v>
      </c>
      <c r="AP20" s="256"/>
      <c r="AQ20" s="256"/>
    </row>
    <row r="21" spans="3:43" x14ac:dyDescent="0.35">
      <c r="C21" s="78"/>
      <c r="F21" t="s">
        <v>157</v>
      </c>
      <c r="G21" t="s">
        <v>269</v>
      </c>
      <c r="H21" s="268"/>
      <c r="I21" s="256"/>
      <c r="J21" s="268">
        <f>'Revenue matching'!J41</f>
        <v>1.1840664639985359</v>
      </c>
      <c r="K21" s="268">
        <f>'Revenue matching'!K41</f>
        <v>1.1840664639985359</v>
      </c>
      <c r="L21" s="268">
        <f>'Revenue matching'!L41</f>
        <v>1.1075940508211499</v>
      </c>
      <c r="M21" s="268">
        <f>'Revenue matching'!M41</f>
        <v>1.1075940508211499</v>
      </c>
      <c r="N21" s="268">
        <f>'Revenue matching'!N41</f>
        <v>1.1075940508211499</v>
      </c>
      <c r="O21" s="268">
        <f>'Revenue matching'!O41</f>
        <v>1.1075940508211499</v>
      </c>
      <c r="P21" s="268">
        <f>'Revenue matching'!P41</f>
        <v>1.1075940508211499</v>
      </c>
      <c r="Q21" s="268">
        <f>'Revenue matching'!Q41</f>
        <v>1.1075940508211499</v>
      </c>
      <c r="R21" s="268">
        <f>'Revenue matching'!R41</f>
        <v>0.74505952499466721</v>
      </c>
      <c r="S21" s="268">
        <f>'Revenue matching'!S41</f>
        <v>0.74505952499466721</v>
      </c>
      <c r="T21" s="268">
        <f>'Revenue matching'!T41</f>
        <v>0.74505952499466721</v>
      </c>
      <c r="U21" s="268">
        <f>'Revenue matching'!U41</f>
        <v>0.74505952499466721</v>
      </c>
      <c r="V21" s="268">
        <f>'Revenue matching'!V41</f>
        <v>0.74505952499466721</v>
      </c>
      <c r="W21" s="268">
        <f>'Revenue matching'!W41</f>
        <v>0.34012821867000353</v>
      </c>
      <c r="X21" s="268">
        <f>'Revenue matching'!X41</f>
        <v>0.34012821867000353</v>
      </c>
      <c r="Y21" s="268">
        <f>'Revenue matching'!Y41</f>
        <v>0.34012821867000353</v>
      </c>
      <c r="Z21" s="268">
        <f>'Revenue matching'!Z41</f>
        <v>0.34012821867000353</v>
      </c>
      <c r="AA21" s="268">
        <f>'Revenue matching'!AA41</f>
        <v>0.34012821867000353</v>
      </c>
      <c r="AB21" s="268">
        <f>'Revenue matching'!AB41</f>
        <v>0.23969521230552152</v>
      </c>
      <c r="AC21" s="268">
        <f>'Revenue matching'!AC41</f>
        <v>0.23969521230552152</v>
      </c>
      <c r="AD21" s="268">
        <f>'Revenue matching'!AD41</f>
        <v>0.23969521230552152</v>
      </c>
      <c r="AE21" s="268">
        <f>'Revenue matching'!AE41</f>
        <v>0.23969521230552152</v>
      </c>
      <c r="AF21" s="268">
        <f>'Revenue matching'!AF41</f>
        <v>0.23969521230552152</v>
      </c>
      <c r="AG21" s="268">
        <f>'Revenue matching'!AG41</f>
        <v>3.9724336516911984</v>
      </c>
      <c r="AH21" s="268">
        <f>'Revenue matching'!AH41</f>
        <v>-0.82187344923759953</v>
      </c>
      <c r="AI21" s="268">
        <f>'Revenue matching'!AI41</f>
        <v>-0.66738501200260569</v>
      </c>
      <c r="AJ21" s="268">
        <f>'Revenue matching'!AJ41</f>
        <v>-0.82187344923759953</v>
      </c>
      <c r="AK21" s="268">
        <f>'Revenue matching'!AK41</f>
        <v>-0.82187344923759953</v>
      </c>
      <c r="AL21" s="268">
        <f>'Revenue matching'!AL41</f>
        <v>-0.66738501200260569</v>
      </c>
      <c r="AM21" s="268">
        <f>'Revenue matching'!AM41</f>
        <v>-0.66738501200260569</v>
      </c>
      <c r="AN21" s="268">
        <f>'Revenue matching'!AN41</f>
        <v>-0.32883259082754929</v>
      </c>
      <c r="AO21" s="268">
        <f>'Revenue matching'!AO41</f>
        <v>-0.32883259082754929</v>
      </c>
      <c r="AP21" s="256"/>
      <c r="AQ21" s="256"/>
    </row>
    <row r="22" spans="3:43" x14ac:dyDescent="0.35">
      <c r="C22" s="78"/>
      <c r="F22" t="s">
        <v>158</v>
      </c>
      <c r="G22" t="s">
        <v>269</v>
      </c>
      <c r="H22" s="268"/>
      <c r="I22" s="256"/>
      <c r="J22" s="268">
        <f>'Revenue matching'!J42</f>
        <v>5.710557616527933E-2</v>
      </c>
      <c r="K22" s="268">
        <f>'Revenue matching'!K42</f>
        <v>5.710557616527933E-2</v>
      </c>
      <c r="L22" s="268">
        <f>'Revenue matching'!L42</f>
        <v>5.3417437578449689E-2</v>
      </c>
      <c r="M22" s="268">
        <f>'Revenue matching'!M42</f>
        <v>5.3417437578449689E-2</v>
      </c>
      <c r="N22" s="268">
        <f>'Revenue matching'!N42</f>
        <v>5.3417437578449689E-2</v>
      </c>
      <c r="O22" s="268">
        <f>'Revenue matching'!O42</f>
        <v>5.3417437578449689E-2</v>
      </c>
      <c r="P22" s="268">
        <f>'Revenue matching'!P42</f>
        <v>5.3417437578449689E-2</v>
      </c>
      <c r="Q22" s="268">
        <f>'Revenue matching'!Q42</f>
        <v>5.3417437578449689E-2</v>
      </c>
      <c r="R22" s="268">
        <f>'Revenue matching'!R42</f>
        <v>3.5352393244154082E-2</v>
      </c>
      <c r="S22" s="268">
        <f>'Revenue matching'!S42</f>
        <v>3.5352393244154082E-2</v>
      </c>
      <c r="T22" s="268">
        <f>'Revenue matching'!T42</f>
        <v>3.5352393244154082E-2</v>
      </c>
      <c r="U22" s="268">
        <f>'Revenue matching'!U42</f>
        <v>3.5352393244154082E-2</v>
      </c>
      <c r="V22" s="268">
        <f>'Revenue matching'!V42</f>
        <v>3.5352393244154082E-2</v>
      </c>
      <c r="W22" s="268">
        <f>'Revenue matching'!W42</f>
        <v>1.5257810460316851E-2</v>
      </c>
      <c r="X22" s="268">
        <f>'Revenue matching'!X42</f>
        <v>1.5257810460316851E-2</v>
      </c>
      <c r="Y22" s="268">
        <f>'Revenue matching'!Y42</f>
        <v>1.5257810460316851E-2</v>
      </c>
      <c r="Z22" s="268">
        <f>'Revenue matching'!Z42</f>
        <v>1.5257810460316851E-2</v>
      </c>
      <c r="AA22" s="268">
        <f>'Revenue matching'!AA42</f>
        <v>1.5257810460316851E-2</v>
      </c>
      <c r="AB22" s="268">
        <f>'Revenue matching'!AB42</f>
        <v>1.0544425190881661E-2</v>
      </c>
      <c r="AC22" s="268">
        <f>'Revenue matching'!AC42</f>
        <v>1.0544425190881661E-2</v>
      </c>
      <c r="AD22" s="268">
        <f>'Revenue matching'!AD42</f>
        <v>1.0544425190881661E-2</v>
      </c>
      <c r="AE22" s="268">
        <f>'Revenue matching'!AE42</f>
        <v>1.0544425190881661E-2</v>
      </c>
      <c r="AF22" s="268">
        <f>'Revenue matching'!AF42</f>
        <v>1.0544425190881661E-2</v>
      </c>
      <c r="AG22" s="268">
        <f>'Revenue matching'!AG42</f>
        <v>2.9210578444349151</v>
      </c>
      <c r="AH22" s="268">
        <f>'Revenue matching'!AH42</f>
        <v>-3.9637603361526004E-2</v>
      </c>
      <c r="AI22" s="268">
        <f>'Revenue matching'!AI42</f>
        <v>-3.1885340997794977E-2</v>
      </c>
      <c r="AJ22" s="268">
        <f>'Revenue matching'!AJ42</f>
        <v>-3.9637603361526004E-2</v>
      </c>
      <c r="AK22" s="268">
        <f>'Revenue matching'!AK42</f>
        <v>-3.9637603361526004E-2</v>
      </c>
      <c r="AL22" s="268">
        <f>'Revenue matching'!AL42</f>
        <v>-3.1885340997794977E-2</v>
      </c>
      <c r="AM22" s="268">
        <f>'Revenue matching'!AM42</f>
        <v>-3.1885340997794977E-2</v>
      </c>
      <c r="AN22" s="268">
        <f>'Revenue matching'!AN42</f>
        <v>-1.4744214024831974E-2</v>
      </c>
      <c r="AO22" s="268">
        <f>'Revenue matching'!AO42</f>
        <v>-1.4744214024831974E-2</v>
      </c>
      <c r="AP22" s="256"/>
      <c r="AQ22" s="256"/>
    </row>
    <row r="23" spans="3:43" x14ac:dyDescent="0.35">
      <c r="C23" s="78"/>
      <c r="F23" t="s">
        <v>159</v>
      </c>
      <c r="G23" t="s">
        <v>270</v>
      </c>
      <c r="H23" s="41"/>
      <c r="J23" s="110">
        <f>'Revenue matching'!J43</f>
        <v>5.6406043448534398</v>
      </c>
      <c r="K23" s="110">
        <f>'Revenue matching'!K43</f>
        <v>0</v>
      </c>
      <c r="L23" s="110">
        <f>'Revenue matching'!L43</f>
        <v>9.5772354491088763</v>
      </c>
      <c r="M23" s="110">
        <f>'Revenue matching'!M43</f>
        <v>9.5772354491088763</v>
      </c>
      <c r="N23" s="110">
        <f>'Revenue matching'!N43</f>
        <v>9.5772354491088763</v>
      </c>
      <c r="O23" s="110">
        <f>'Revenue matching'!O43</f>
        <v>9.5772354491088763</v>
      </c>
      <c r="P23" s="110">
        <f>'Revenue matching'!P43</f>
        <v>9.5772354491088763</v>
      </c>
      <c r="Q23" s="110">
        <f>'Revenue matching'!Q43</f>
        <v>0</v>
      </c>
      <c r="R23" s="110">
        <f>'Revenue matching'!R43</f>
        <v>22.808539817430944</v>
      </c>
      <c r="S23" s="110">
        <f>'Revenue matching'!S43</f>
        <v>22.808539817430944</v>
      </c>
      <c r="T23" s="110">
        <f>'Revenue matching'!T43</f>
        <v>22.808539817430944</v>
      </c>
      <c r="U23" s="110">
        <f>'Revenue matching'!U43</f>
        <v>22.808539817430944</v>
      </c>
      <c r="V23" s="110">
        <f>'Revenue matching'!V43</f>
        <v>22.808539817430944</v>
      </c>
      <c r="W23" s="110">
        <f>'Revenue matching'!W43</f>
        <v>58.506264025464517</v>
      </c>
      <c r="X23" s="110">
        <f>'Revenue matching'!X43</f>
        <v>58.506264025464517</v>
      </c>
      <c r="Y23" s="110">
        <f>'Revenue matching'!Y43</f>
        <v>58.506264025464517</v>
      </c>
      <c r="Z23" s="110">
        <f>'Revenue matching'!Z43</f>
        <v>58.506264025464517</v>
      </c>
      <c r="AA23" s="110">
        <f>'Revenue matching'!AA43</f>
        <v>58.506264025464517</v>
      </c>
      <c r="AB23" s="110">
        <f>'Revenue matching'!AB43</f>
        <v>209.1390454732356</v>
      </c>
      <c r="AC23" s="110">
        <f>'Revenue matching'!AC43</f>
        <v>209.1390454732356</v>
      </c>
      <c r="AD23" s="110">
        <f>'Revenue matching'!AD43</f>
        <v>209.1390454732356</v>
      </c>
      <c r="AE23" s="110">
        <f>'Revenue matching'!AE43</f>
        <v>209.1390454732356</v>
      </c>
      <c r="AF23" s="110">
        <f>'Revenue matching'!AF43</f>
        <v>209.1390454732356</v>
      </c>
      <c r="AG23" s="110">
        <f>'Revenue matching'!AG43</f>
        <v>0</v>
      </c>
      <c r="AH23" s="110">
        <f>'Revenue matching'!AH43</f>
        <v>0</v>
      </c>
      <c r="AI23" s="110">
        <f>'Revenue matching'!AI43</f>
        <v>0</v>
      </c>
      <c r="AJ23" s="110">
        <f>'Revenue matching'!AJ43</f>
        <v>0</v>
      </c>
      <c r="AK23" s="110">
        <f>'Revenue matching'!AK43</f>
        <v>0</v>
      </c>
      <c r="AL23" s="110">
        <f>'Revenue matching'!AL43</f>
        <v>0</v>
      </c>
      <c r="AM23" s="110">
        <f>'Revenue matching'!AM43</f>
        <v>0</v>
      </c>
      <c r="AN23" s="110">
        <f>'Revenue matching'!AN43</f>
        <v>416.37953829088679</v>
      </c>
      <c r="AO23" s="110">
        <f>'Revenue matching'!AO43</f>
        <v>416.37953829088679</v>
      </c>
    </row>
    <row r="24" spans="3:43" x14ac:dyDescent="0.35">
      <c r="C24" s="78"/>
      <c r="F24" t="s">
        <v>160</v>
      </c>
      <c r="G24" t="s">
        <v>271</v>
      </c>
      <c r="H24" s="41"/>
      <c r="J24" s="110">
        <f>'Revenue matching'!J44</f>
        <v>0</v>
      </c>
      <c r="K24" s="110">
        <f>'Revenue matching'!K44</f>
        <v>0</v>
      </c>
      <c r="L24" s="110">
        <f>'Revenue matching'!L44</f>
        <v>0</v>
      </c>
      <c r="M24" s="110">
        <f>'Revenue matching'!M44</f>
        <v>0</v>
      </c>
      <c r="N24" s="110">
        <f>'Revenue matching'!N44</f>
        <v>0</v>
      </c>
      <c r="O24" s="110">
        <f>'Revenue matching'!O44</f>
        <v>0</v>
      </c>
      <c r="P24" s="110">
        <f>'Revenue matching'!P44</f>
        <v>0</v>
      </c>
      <c r="Q24" s="110">
        <f>'Revenue matching'!Q44</f>
        <v>0</v>
      </c>
      <c r="R24" s="110">
        <f>'Revenue matching'!R44</f>
        <v>4.102817462086314</v>
      </c>
      <c r="S24" s="110">
        <f>'Revenue matching'!S44</f>
        <v>4.102817462086314</v>
      </c>
      <c r="T24" s="110">
        <f>'Revenue matching'!T44</f>
        <v>4.102817462086314</v>
      </c>
      <c r="U24" s="110">
        <f>'Revenue matching'!U44</f>
        <v>4.102817462086314</v>
      </c>
      <c r="V24" s="110">
        <f>'Revenue matching'!V44</f>
        <v>4.102817462086314</v>
      </c>
      <c r="W24" s="110">
        <f>'Revenue matching'!W44</f>
        <v>5.5071913345692804</v>
      </c>
      <c r="X24" s="110">
        <f>'Revenue matching'!X44</f>
        <v>5.5071913345692804</v>
      </c>
      <c r="Y24" s="110">
        <f>'Revenue matching'!Y44</f>
        <v>5.5071913345692804</v>
      </c>
      <c r="Z24" s="110">
        <f>'Revenue matching'!Z44</f>
        <v>5.5071913345692804</v>
      </c>
      <c r="AA24" s="110">
        <f>'Revenue matching'!AA44</f>
        <v>5.5071913345692804</v>
      </c>
      <c r="AB24" s="110">
        <f>'Revenue matching'!AB44</f>
        <v>6.4949443898028001</v>
      </c>
      <c r="AC24" s="110">
        <f>'Revenue matching'!AC44</f>
        <v>6.4949443898028001</v>
      </c>
      <c r="AD24" s="110">
        <f>'Revenue matching'!AD44</f>
        <v>6.4949443898028001</v>
      </c>
      <c r="AE24" s="110">
        <f>'Revenue matching'!AE44</f>
        <v>6.4949443898028001</v>
      </c>
      <c r="AF24" s="110">
        <f>'Revenue matching'!AF44</f>
        <v>6.4949443898028001</v>
      </c>
      <c r="AG24" s="110">
        <f>'Revenue matching'!AG44</f>
        <v>0</v>
      </c>
      <c r="AH24" s="110">
        <f>'Revenue matching'!AH44</f>
        <v>0</v>
      </c>
      <c r="AI24" s="110">
        <f>'Revenue matching'!AI44</f>
        <v>0</v>
      </c>
      <c r="AJ24" s="110">
        <f>'Revenue matching'!AJ44</f>
        <v>0</v>
      </c>
      <c r="AK24" s="110">
        <f>'Revenue matching'!AK44</f>
        <v>0</v>
      </c>
      <c r="AL24" s="110">
        <f>'Revenue matching'!AL44</f>
        <v>0</v>
      </c>
      <c r="AM24" s="110">
        <f>'Revenue matching'!AM44</f>
        <v>0</v>
      </c>
      <c r="AN24" s="110">
        <f>'Revenue matching'!AN44</f>
        <v>0</v>
      </c>
      <c r="AO24" s="110">
        <f>'Revenue matching'!AO44</f>
        <v>0</v>
      </c>
    </row>
    <row r="25" spans="3:43" x14ac:dyDescent="0.35">
      <c r="C25" s="78"/>
      <c r="F25" t="s">
        <v>161</v>
      </c>
      <c r="G25" t="s">
        <v>271</v>
      </c>
      <c r="H25" s="41"/>
      <c r="J25" s="110">
        <f>'Revenue matching'!J45</f>
        <v>0</v>
      </c>
      <c r="K25" s="110">
        <f>'Revenue matching'!K45</f>
        <v>0</v>
      </c>
      <c r="L25" s="110">
        <f>'Revenue matching'!L45</f>
        <v>0</v>
      </c>
      <c r="M25" s="110">
        <f>'Revenue matching'!M45</f>
        <v>0</v>
      </c>
      <c r="N25" s="110">
        <f>'Revenue matching'!N45</f>
        <v>0</v>
      </c>
      <c r="O25" s="110">
        <f>'Revenue matching'!O45</f>
        <v>0</v>
      </c>
      <c r="P25" s="110">
        <f>'Revenue matching'!P45</f>
        <v>0</v>
      </c>
      <c r="Q25" s="110">
        <f>'Revenue matching'!Q45</f>
        <v>0</v>
      </c>
      <c r="R25" s="110">
        <f>'Revenue matching'!R45</f>
        <v>7.1725728517083365</v>
      </c>
      <c r="S25" s="110">
        <f>'Revenue matching'!S45</f>
        <v>7.1725728517083365</v>
      </c>
      <c r="T25" s="110">
        <f>'Revenue matching'!T45</f>
        <v>7.1725728517083365</v>
      </c>
      <c r="U25" s="110">
        <f>'Revenue matching'!U45</f>
        <v>7.1725728517083365</v>
      </c>
      <c r="V25" s="110">
        <f>'Revenue matching'!V45</f>
        <v>7.1725728517083365</v>
      </c>
      <c r="W25" s="110">
        <f>'Revenue matching'!W45</f>
        <v>7.0570430446951793</v>
      </c>
      <c r="X25" s="110">
        <f>'Revenue matching'!X45</f>
        <v>7.0570430446951793</v>
      </c>
      <c r="Y25" s="110">
        <f>'Revenue matching'!Y45</f>
        <v>7.0570430446951793</v>
      </c>
      <c r="Z25" s="110">
        <f>'Revenue matching'!Z45</f>
        <v>7.0570430446951793</v>
      </c>
      <c r="AA25" s="110">
        <f>'Revenue matching'!AA45</f>
        <v>7.0570430446951793</v>
      </c>
      <c r="AB25" s="110">
        <f>'Revenue matching'!AB45</f>
        <v>7.7468803699975215</v>
      </c>
      <c r="AC25" s="110">
        <f>'Revenue matching'!AC45</f>
        <v>7.7468803699975215</v>
      </c>
      <c r="AD25" s="110">
        <f>'Revenue matching'!AD45</f>
        <v>7.7468803699975215</v>
      </c>
      <c r="AE25" s="110">
        <f>'Revenue matching'!AE45</f>
        <v>7.7468803699975215</v>
      </c>
      <c r="AF25" s="110">
        <f>'Revenue matching'!AF45</f>
        <v>7.7468803699975215</v>
      </c>
      <c r="AG25" s="110">
        <f>'Revenue matching'!AG45</f>
        <v>0</v>
      </c>
      <c r="AH25" s="110">
        <f>'Revenue matching'!AH45</f>
        <v>0</v>
      </c>
      <c r="AI25" s="110">
        <f>'Revenue matching'!AI45</f>
        <v>0</v>
      </c>
      <c r="AJ25" s="110">
        <f>'Revenue matching'!AJ45</f>
        <v>0</v>
      </c>
      <c r="AK25" s="110">
        <f>'Revenue matching'!AK45</f>
        <v>0</v>
      </c>
      <c r="AL25" s="110">
        <f>'Revenue matching'!AL45</f>
        <v>0</v>
      </c>
      <c r="AM25" s="110">
        <f>'Revenue matching'!AM45</f>
        <v>0</v>
      </c>
      <c r="AN25" s="110">
        <f>'Revenue matching'!AN45</f>
        <v>0</v>
      </c>
      <c r="AO25" s="110">
        <f>'Revenue matching'!AO45</f>
        <v>0</v>
      </c>
    </row>
    <row r="26" spans="3:43" x14ac:dyDescent="0.35">
      <c r="C26" s="78"/>
      <c r="F26" s="28" t="s">
        <v>162</v>
      </c>
      <c r="G26" s="28" t="s">
        <v>272</v>
      </c>
      <c r="H26" s="272"/>
      <c r="I26" s="258"/>
      <c r="J26" s="272">
        <f>'Revenue matching'!J46</f>
        <v>0</v>
      </c>
      <c r="K26" s="272">
        <f>'Revenue matching'!K46</f>
        <v>0</v>
      </c>
      <c r="L26" s="272">
        <f>'Revenue matching'!L46</f>
        <v>0</v>
      </c>
      <c r="M26" s="272">
        <f>'Revenue matching'!M46</f>
        <v>0</v>
      </c>
      <c r="N26" s="272">
        <f>'Revenue matching'!N46</f>
        <v>0</v>
      </c>
      <c r="O26" s="272">
        <f>'Revenue matching'!O46</f>
        <v>0</v>
      </c>
      <c r="P26" s="272">
        <f>'Revenue matching'!P46</f>
        <v>0</v>
      </c>
      <c r="Q26" s="272">
        <f>'Revenue matching'!Q46</f>
        <v>0</v>
      </c>
      <c r="R26" s="272">
        <f>'Revenue matching'!R46</f>
        <v>0.24512613643318029</v>
      </c>
      <c r="S26" s="272">
        <f>'Revenue matching'!S46</f>
        <v>0.24512613643318029</v>
      </c>
      <c r="T26" s="272">
        <f>'Revenue matching'!T46</f>
        <v>0.24512613643318029</v>
      </c>
      <c r="U26" s="272">
        <f>'Revenue matching'!U46</f>
        <v>0.24512613643318029</v>
      </c>
      <c r="V26" s="272">
        <f>'Revenue matching'!V46</f>
        <v>0.24512613643318029</v>
      </c>
      <c r="W26" s="272">
        <f>'Revenue matching'!W46</f>
        <v>0.13673476998950587</v>
      </c>
      <c r="X26" s="272">
        <f>'Revenue matching'!X46</f>
        <v>0.13673476998950587</v>
      </c>
      <c r="Y26" s="272">
        <f>'Revenue matching'!Y46</f>
        <v>0.13673476998950587</v>
      </c>
      <c r="Z26" s="272">
        <f>'Revenue matching'!Z46</f>
        <v>0.13673476998950587</v>
      </c>
      <c r="AA26" s="272">
        <f>'Revenue matching'!AA46</f>
        <v>0.13673476998950587</v>
      </c>
      <c r="AB26" s="272">
        <f>'Revenue matching'!AB46</f>
        <v>0.10397606554030356</v>
      </c>
      <c r="AC26" s="272">
        <f>'Revenue matching'!AC46</f>
        <v>0.10397606554030356</v>
      </c>
      <c r="AD26" s="272">
        <f>'Revenue matching'!AD46</f>
        <v>0.10397606554030356</v>
      </c>
      <c r="AE26" s="272">
        <f>'Revenue matching'!AE46</f>
        <v>0.10397606554030356</v>
      </c>
      <c r="AF26" s="272">
        <f>'Revenue matching'!AF46</f>
        <v>0.10397606554030356</v>
      </c>
      <c r="AG26" s="272">
        <f>'Revenue matching'!AG46</f>
        <v>0</v>
      </c>
      <c r="AH26" s="272">
        <f>'Revenue matching'!AH46</f>
        <v>0</v>
      </c>
      <c r="AI26" s="272">
        <f>'Revenue matching'!AI46</f>
        <v>0</v>
      </c>
      <c r="AJ26" s="272">
        <f>'Revenue matching'!AJ46</f>
        <v>0.25365596464299434</v>
      </c>
      <c r="AK26" s="272">
        <f>'Revenue matching'!AK46</f>
        <v>0</v>
      </c>
      <c r="AL26" s="272">
        <f>'Revenue matching'!AL46</f>
        <v>0.20991484341611574</v>
      </c>
      <c r="AM26" s="272">
        <f>'Revenue matching'!AM46</f>
        <v>0</v>
      </c>
      <c r="AN26" s="272">
        <f>'Revenue matching'!AN46</f>
        <v>0.18197756357782038</v>
      </c>
      <c r="AO26" s="272">
        <f>'Revenue matching'!AO46</f>
        <v>0</v>
      </c>
      <c r="AP26" s="256"/>
      <c r="AQ26" s="256"/>
    </row>
    <row r="27" spans="3:43" x14ac:dyDescent="0.35">
      <c r="C27" s="78"/>
      <c r="E27"/>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row>
    <row r="28" spans="3:43" x14ac:dyDescent="0.35">
      <c r="C28" s="26" t="str">
        <f ca="1">INDEX('Version control'!$H$38:$H$61,MATCH($A$1,'Version control'!$F$38:$F$61,0),1)&amp;"-B: Adders for revenue matching"</f>
        <v>Section 117-B: Adders for revenue matching</v>
      </c>
      <c r="D28" s="26"/>
      <c r="E28" s="26"/>
      <c r="F28" s="26"/>
      <c r="G28" s="26"/>
      <c r="H28" s="26"/>
      <c r="I28" s="26"/>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26"/>
      <c r="AQ28" s="26"/>
    </row>
    <row r="29" spans="3:43" x14ac:dyDescent="0.35">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row>
    <row r="30" spans="3:43" x14ac:dyDescent="0.35">
      <c r="E30" s="78" t="s">
        <v>1128</v>
      </c>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row>
    <row r="31" spans="3:43" x14ac:dyDescent="0.35">
      <c r="E31" s="24" t="s">
        <v>1129</v>
      </c>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row>
    <row r="32" spans="3:43" x14ac:dyDescent="0.35">
      <c r="E32" s="78"/>
      <c r="F32" s="19" t="s">
        <v>156</v>
      </c>
      <c r="G32" s="19" t="s">
        <v>269</v>
      </c>
      <c r="H32" s="267"/>
      <c r="I32" s="255"/>
      <c r="J32" s="260">
        <f>'Revenue matching'!J413</f>
        <v>0</v>
      </c>
      <c r="K32" s="260">
        <f>'Revenue matching'!K413</f>
        <v>0</v>
      </c>
      <c r="L32" s="260">
        <f>'Revenue matching'!L413</f>
        <v>0</v>
      </c>
      <c r="M32" s="260">
        <f>'Revenue matching'!M413</f>
        <v>0</v>
      </c>
      <c r="N32" s="260">
        <f>'Revenue matching'!N413</f>
        <v>0</v>
      </c>
      <c r="O32" s="260">
        <f>'Revenue matching'!O413</f>
        <v>0</v>
      </c>
      <c r="P32" s="260">
        <f>'Revenue matching'!P413</f>
        <v>0</v>
      </c>
      <c r="Q32" s="260">
        <f>'Revenue matching'!Q413</f>
        <v>0</v>
      </c>
      <c r="R32" s="260">
        <f>'Revenue matching'!R413</f>
        <v>0</v>
      </c>
      <c r="S32" s="260">
        <f>'Revenue matching'!S413</f>
        <v>0</v>
      </c>
      <c r="T32" s="260">
        <f>'Revenue matching'!T413</f>
        <v>0</v>
      </c>
      <c r="U32" s="260">
        <f>'Revenue matching'!U413</f>
        <v>0</v>
      </c>
      <c r="V32" s="260">
        <f>'Revenue matching'!V413</f>
        <v>0</v>
      </c>
      <c r="W32" s="260">
        <f>'Revenue matching'!W413</f>
        <v>0</v>
      </c>
      <c r="X32" s="260">
        <f>'Revenue matching'!X413</f>
        <v>0</v>
      </c>
      <c r="Y32" s="260">
        <f>'Revenue matching'!Y413</f>
        <v>0</v>
      </c>
      <c r="Z32" s="260">
        <f>'Revenue matching'!Z413</f>
        <v>0</v>
      </c>
      <c r="AA32" s="260">
        <f>'Revenue matching'!AA413</f>
        <v>0</v>
      </c>
      <c r="AB32" s="260">
        <f>'Revenue matching'!AB413</f>
        <v>0</v>
      </c>
      <c r="AC32" s="260">
        <f>'Revenue matching'!AC413</f>
        <v>0</v>
      </c>
      <c r="AD32" s="260">
        <f>'Revenue matching'!AD413</f>
        <v>0</v>
      </c>
      <c r="AE32" s="260">
        <f>'Revenue matching'!AE413</f>
        <v>0</v>
      </c>
      <c r="AF32" s="260">
        <f>'Revenue matching'!AF413</f>
        <v>0</v>
      </c>
      <c r="AG32" s="260">
        <f>'Revenue matching'!AG413</f>
        <v>2.2376972109581792</v>
      </c>
      <c r="AH32" s="260">
        <f>'Revenue matching'!AH413</f>
        <v>0</v>
      </c>
      <c r="AI32" s="260">
        <f>'Revenue matching'!AI413</f>
        <v>0</v>
      </c>
      <c r="AJ32" s="260">
        <f>'Revenue matching'!AJ413</f>
        <v>0</v>
      </c>
      <c r="AK32" s="260">
        <f>'Revenue matching'!AK413</f>
        <v>0</v>
      </c>
      <c r="AL32" s="260">
        <f>'Revenue matching'!AL413</f>
        <v>0</v>
      </c>
      <c r="AM32" s="260">
        <f>'Revenue matching'!AM413</f>
        <v>0</v>
      </c>
      <c r="AN32" s="260">
        <f>'Revenue matching'!AN413</f>
        <v>0</v>
      </c>
      <c r="AO32" s="260">
        <f>'Revenue matching'!AO413</f>
        <v>0</v>
      </c>
      <c r="AP32" s="256"/>
      <c r="AQ32" s="256"/>
    </row>
    <row r="33" spans="3:43" x14ac:dyDescent="0.35">
      <c r="E33" s="78"/>
      <c r="F33" t="s">
        <v>157</v>
      </c>
      <c r="G33" t="s">
        <v>269</v>
      </c>
      <c r="H33" s="268"/>
      <c r="I33" s="256"/>
      <c r="J33" s="261">
        <f>'Revenue matching'!J414</f>
        <v>0</v>
      </c>
      <c r="K33" s="261">
        <f>'Revenue matching'!K414</f>
        <v>0</v>
      </c>
      <c r="L33" s="261">
        <f>'Revenue matching'!L414</f>
        <v>0</v>
      </c>
      <c r="M33" s="261">
        <f>'Revenue matching'!M414</f>
        <v>0</v>
      </c>
      <c r="N33" s="261">
        <f>'Revenue matching'!N414</f>
        <v>0</v>
      </c>
      <c r="O33" s="261">
        <f>'Revenue matching'!O414</f>
        <v>0</v>
      </c>
      <c r="P33" s="261">
        <f>'Revenue matching'!P414</f>
        <v>0</v>
      </c>
      <c r="Q33" s="261">
        <f>'Revenue matching'!Q414</f>
        <v>0</v>
      </c>
      <c r="R33" s="261">
        <f>'Revenue matching'!R414</f>
        <v>0</v>
      </c>
      <c r="S33" s="261">
        <f>'Revenue matching'!S414</f>
        <v>0</v>
      </c>
      <c r="T33" s="261">
        <f>'Revenue matching'!T414</f>
        <v>0</v>
      </c>
      <c r="U33" s="261">
        <f>'Revenue matching'!U414</f>
        <v>0</v>
      </c>
      <c r="V33" s="261">
        <f>'Revenue matching'!V414</f>
        <v>0</v>
      </c>
      <c r="W33" s="261">
        <f>'Revenue matching'!W414</f>
        <v>0</v>
      </c>
      <c r="X33" s="261">
        <f>'Revenue matching'!X414</f>
        <v>0</v>
      </c>
      <c r="Y33" s="261">
        <f>'Revenue matching'!Y414</f>
        <v>0</v>
      </c>
      <c r="Z33" s="261">
        <f>'Revenue matching'!Z414</f>
        <v>0</v>
      </c>
      <c r="AA33" s="261">
        <f>'Revenue matching'!AA414</f>
        <v>0</v>
      </c>
      <c r="AB33" s="261">
        <f>'Revenue matching'!AB414</f>
        <v>0</v>
      </c>
      <c r="AC33" s="261">
        <f>'Revenue matching'!AC414</f>
        <v>0</v>
      </c>
      <c r="AD33" s="261">
        <f>'Revenue matching'!AD414</f>
        <v>0</v>
      </c>
      <c r="AE33" s="261">
        <f>'Revenue matching'!AE414</f>
        <v>0</v>
      </c>
      <c r="AF33" s="261">
        <f>'Revenue matching'!AF414</f>
        <v>0</v>
      </c>
      <c r="AG33" s="261">
        <f>'Revenue matching'!AG414</f>
        <v>2.2376972109581792</v>
      </c>
      <c r="AH33" s="261">
        <f>'Revenue matching'!AH414</f>
        <v>0</v>
      </c>
      <c r="AI33" s="261">
        <f>'Revenue matching'!AI414</f>
        <v>0</v>
      </c>
      <c r="AJ33" s="261">
        <f>'Revenue matching'!AJ414</f>
        <v>0</v>
      </c>
      <c r="AK33" s="261">
        <f>'Revenue matching'!AK414</f>
        <v>0</v>
      </c>
      <c r="AL33" s="261">
        <f>'Revenue matching'!AL414</f>
        <v>0</v>
      </c>
      <c r="AM33" s="261">
        <f>'Revenue matching'!AM414</f>
        <v>0</v>
      </c>
      <c r="AN33" s="261">
        <f>'Revenue matching'!AN414</f>
        <v>0</v>
      </c>
      <c r="AO33" s="261">
        <f>'Revenue matching'!AO414</f>
        <v>0</v>
      </c>
      <c r="AP33" s="256"/>
      <c r="AQ33" s="256"/>
    </row>
    <row r="34" spans="3:43" x14ac:dyDescent="0.35">
      <c r="E34" s="78"/>
      <c r="F34" t="s">
        <v>158</v>
      </c>
      <c r="G34" t="s">
        <v>269</v>
      </c>
      <c r="H34" s="268"/>
      <c r="I34" s="256"/>
      <c r="J34" s="261">
        <f>'Revenue matching'!J415</f>
        <v>0</v>
      </c>
      <c r="K34" s="261">
        <f>'Revenue matching'!K415</f>
        <v>0</v>
      </c>
      <c r="L34" s="261">
        <f>'Revenue matching'!L415</f>
        <v>0</v>
      </c>
      <c r="M34" s="261">
        <f>'Revenue matching'!M415</f>
        <v>0</v>
      </c>
      <c r="N34" s="261">
        <f>'Revenue matching'!N415</f>
        <v>0</v>
      </c>
      <c r="O34" s="261">
        <f>'Revenue matching'!O415</f>
        <v>0</v>
      </c>
      <c r="P34" s="261">
        <f>'Revenue matching'!P415</f>
        <v>0</v>
      </c>
      <c r="Q34" s="261">
        <f>'Revenue matching'!Q415</f>
        <v>0</v>
      </c>
      <c r="R34" s="261">
        <f>'Revenue matching'!R415</f>
        <v>0</v>
      </c>
      <c r="S34" s="261">
        <f>'Revenue matching'!S415</f>
        <v>0</v>
      </c>
      <c r="T34" s="261">
        <f>'Revenue matching'!T415</f>
        <v>0</v>
      </c>
      <c r="U34" s="261">
        <f>'Revenue matching'!U415</f>
        <v>0</v>
      </c>
      <c r="V34" s="261">
        <f>'Revenue matching'!V415</f>
        <v>0</v>
      </c>
      <c r="W34" s="261">
        <f>'Revenue matching'!W415</f>
        <v>0</v>
      </c>
      <c r="X34" s="261">
        <f>'Revenue matching'!X415</f>
        <v>0</v>
      </c>
      <c r="Y34" s="261">
        <f>'Revenue matching'!Y415</f>
        <v>0</v>
      </c>
      <c r="Z34" s="261">
        <f>'Revenue matching'!Z415</f>
        <v>0</v>
      </c>
      <c r="AA34" s="261">
        <f>'Revenue matching'!AA415</f>
        <v>0</v>
      </c>
      <c r="AB34" s="261">
        <f>'Revenue matching'!AB415</f>
        <v>0</v>
      </c>
      <c r="AC34" s="261">
        <f>'Revenue matching'!AC415</f>
        <v>0</v>
      </c>
      <c r="AD34" s="261">
        <f>'Revenue matching'!AD415</f>
        <v>0</v>
      </c>
      <c r="AE34" s="261">
        <f>'Revenue matching'!AE415</f>
        <v>0</v>
      </c>
      <c r="AF34" s="261">
        <f>'Revenue matching'!AF415</f>
        <v>0</v>
      </c>
      <c r="AG34" s="261">
        <f>'Revenue matching'!AG415</f>
        <v>2.2376972109581792</v>
      </c>
      <c r="AH34" s="261">
        <f>'Revenue matching'!AH415</f>
        <v>0</v>
      </c>
      <c r="AI34" s="261">
        <f>'Revenue matching'!AI415</f>
        <v>0</v>
      </c>
      <c r="AJ34" s="261">
        <f>'Revenue matching'!AJ415</f>
        <v>0</v>
      </c>
      <c r="AK34" s="261">
        <f>'Revenue matching'!AK415</f>
        <v>0</v>
      </c>
      <c r="AL34" s="261">
        <f>'Revenue matching'!AL415</f>
        <v>0</v>
      </c>
      <c r="AM34" s="261">
        <f>'Revenue matching'!AM415</f>
        <v>0</v>
      </c>
      <c r="AN34" s="261">
        <f>'Revenue matching'!AN415</f>
        <v>0</v>
      </c>
      <c r="AO34" s="261">
        <f>'Revenue matching'!AO415</f>
        <v>0</v>
      </c>
      <c r="AP34" s="256"/>
      <c r="AQ34" s="256"/>
    </row>
    <row r="35" spans="3:43" x14ac:dyDescent="0.35">
      <c r="E35" s="78"/>
      <c r="F35" t="s">
        <v>159</v>
      </c>
      <c r="G35" t="s">
        <v>270</v>
      </c>
      <c r="H35" s="41"/>
      <c r="J35" s="261">
        <f>'Revenue matching'!J416</f>
        <v>19.566367376138896</v>
      </c>
      <c r="K35" s="261">
        <f>'Revenue matching'!K416</f>
        <v>0</v>
      </c>
      <c r="L35" s="261">
        <f>'Revenue matching'!L416</f>
        <v>0</v>
      </c>
      <c r="M35" s="261">
        <f>'Revenue matching'!M416</f>
        <v>18.162421789532228</v>
      </c>
      <c r="N35" s="261">
        <f>'Revenue matching'!N416</f>
        <v>49.716501852375721</v>
      </c>
      <c r="O35" s="261">
        <f>'Revenue matching'!O416</f>
        <v>110.09821081140377</v>
      </c>
      <c r="P35" s="261">
        <f>'Revenue matching'!P416</f>
        <v>309.6182299796119</v>
      </c>
      <c r="Q35" s="261">
        <f>'Revenue matching'!Q416</f>
        <v>0</v>
      </c>
      <c r="R35" s="261">
        <f>'Revenue matching'!R416</f>
        <v>0</v>
      </c>
      <c r="S35" s="261">
        <f>'Revenue matching'!S416</f>
        <v>554.07650295971166</v>
      </c>
      <c r="T35" s="261">
        <f>'Revenue matching'!T416</f>
        <v>929.63695280862487</v>
      </c>
      <c r="U35" s="261">
        <f>'Revenue matching'!U416</f>
        <v>1571.4963892141839</v>
      </c>
      <c r="V35" s="261">
        <f>'Revenue matching'!V416</f>
        <v>3977.970209086955</v>
      </c>
      <c r="W35" s="261">
        <f>'Revenue matching'!W416</f>
        <v>0</v>
      </c>
      <c r="X35" s="261">
        <f>'Revenue matching'!X416</f>
        <v>554.07650295971166</v>
      </c>
      <c r="Y35" s="261">
        <f>'Revenue matching'!Y416</f>
        <v>929.63695280862498</v>
      </c>
      <c r="Z35" s="261">
        <f>'Revenue matching'!Z416</f>
        <v>1571.4963892141841</v>
      </c>
      <c r="AA35" s="261">
        <f>'Revenue matching'!AA416</f>
        <v>3977.9702090869537</v>
      </c>
      <c r="AB35" s="261">
        <f>'Revenue matching'!AB416</f>
        <v>0</v>
      </c>
      <c r="AC35" s="261">
        <f>'Revenue matching'!AC416</f>
        <v>3130.7357410142376</v>
      </c>
      <c r="AD35" s="261">
        <f>'Revenue matching'!AD416</f>
        <v>8112.2647865919216</v>
      </c>
      <c r="AE35" s="261">
        <f>'Revenue matching'!AE416</f>
        <v>15890.573089089472</v>
      </c>
      <c r="AF35" s="261">
        <f>'Revenue matching'!AF416</f>
        <v>40886.31163561032</v>
      </c>
      <c r="AG35" s="261">
        <f>'Revenue matching'!AG416</f>
        <v>0</v>
      </c>
      <c r="AH35" s="261">
        <f>'Revenue matching'!AH416</f>
        <v>0</v>
      </c>
      <c r="AI35" s="261">
        <f>'Revenue matching'!AI416</f>
        <v>0</v>
      </c>
      <c r="AJ35" s="261">
        <f>'Revenue matching'!AJ416</f>
        <v>0</v>
      </c>
      <c r="AK35" s="261">
        <f>'Revenue matching'!AK416</f>
        <v>0</v>
      </c>
      <c r="AL35" s="261">
        <f>'Revenue matching'!AL416</f>
        <v>0</v>
      </c>
      <c r="AM35" s="261">
        <f>'Revenue matching'!AM416</f>
        <v>0</v>
      </c>
      <c r="AN35" s="261">
        <f>'Revenue matching'!AN416</f>
        <v>0</v>
      </c>
      <c r="AO35" s="261">
        <f>'Revenue matching'!AO416</f>
        <v>0</v>
      </c>
    </row>
    <row r="36" spans="3:43" x14ac:dyDescent="0.35">
      <c r="E36" s="78"/>
      <c r="F36" t="s">
        <v>160</v>
      </c>
      <c r="G36" t="s">
        <v>271</v>
      </c>
      <c r="H36" s="41"/>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row>
    <row r="37" spans="3:43" x14ac:dyDescent="0.35">
      <c r="E37" s="78"/>
      <c r="F37" t="s">
        <v>161</v>
      </c>
      <c r="G37" t="s">
        <v>271</v>
      </c>
      <c r="H37" s="41"/>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row>
    <row r="38" spans="3:43" x14ac:dyDescent="0.35">
      <c r="E38" s="78"/>
      <c r="F38" s="28" t="s">
        <v>162</v>
      </c>
      <c r="G38" s="28" t="s">
        <v>272</v>
      </c>
      <c r="H38" s="272"/>
      <c r="I38" s="258"/>
      <c r="J38" s="259"/>
      <c r="K38" s="259"/>
      <c r="L38" s="259"/>
      <c r="M38" s="259"/>
      <c r="N38" s="259"/>
      <c r="O38" s="259"/>
      <c r="P38" s="259"/>
      <c r="Q38" s="259"/>
      <c r="R38" s="259"/>
      <c r="S38" s="259"/>
      <c r="T38" s="259"/>
      <c r="U38" s="259"/>
      <c r="V38" s="259"/>
      <c r="W38" s="259"/>
      <c r="X38" s="259"/>
      <c r="Y38" s="259"/>
      <c r="Z38" s="259"/>
      <c r="AA38" s="259"/>
      <c r="AB38" s="259"/>
      <c r="AC38" s="259"/>
      <c r="AD38" s="259"/>
      <c r="AE38" s="259"/>
      <c r="AF38" s="259"/>
      <c r="AG38" s="259"/>
      <c r="AH38" s="259"/>
      <c r="AI38" s="259"/>
      <c r="AJ38" s="259"/>
      <c r="AK38" s="259"/>
      <c r="AL38" s="259"/>
      <c r="AM38" s="259"/>
      <c r="AN38" s="259"/>
      <c r="AO38" s="259"/>
      <c r="AP38" s="256"/>
      <c r="AQ38" s="256"/>
    </row>
    <row r="39" spans="3:43" x14ac:dyDescent="0.35">
      <c r="D39" s="78"/>
      <c r="E39"/>
    </row>
    <row r="40" spans="3:43" x14ac:dyDescent="0.35">
      <c r="C40" s="26" t="str">
        <f ca="1">INDEX('Version control'!$H$38:$H$61,MATCH($A$1,'Version control'!$F$38:$F$61,0),1)&amp;"-C: Adder to fixed charge for allocated pass-through costs"</f>
        <v>Section 117-C: Adder to fixed charge for allocated pass-through costs</v>
      </c>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row>
    <row r="42" spans="3:43" x14ac:dyDescent="0.35">
      <c r="E42" s="78" t="s">
        <v>875</v>
      </c>
    </row>
    <row r="43" spans="3:43" x14ac:dyDescent="0.35">
      <c r="E43" s="24" t="s">
        <v>887</v>
      </c>
    </row>
    <row r="44" spans="3:43" x14ac:dyDescent="0.35">
      <c r="E44" s="78"/>
      <c r="F44" s="19" t="s">
        <v>156</v>
      </c>
      <c r="G44" s="19" t="s">
        <v>269</v>
      </c>
      <c r="H44" s="267"/>
      <c r="I44" s="255"/>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row>
    <row r="45" spans="3:43" x14ac:dyDescent="0.35">
      <c r="E45" s="78"/>
      <c r="F45" t="s">
        <v>157</v>
      </c>
      <c r="G45" t="s">
        <v>269</v>
      </c>
      <c r="H45" s="268"/>
      <c r="I45" s="256"/>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row>
    <row r="46" spans="3:43" x14ac:dyDescent="0.35">
      <c r="E46" s="78"/>
      <c r="F46" t="s">
        <v>158</v>
      </c>
      <c r="G46" t="s">
        <v>269</v>
      </c>
      <c r="H46" s="268"/>
      <c r="I46" s="256"/>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row>
    <row r="47" spans="3:43" x14ac:dyDescent="0.35">
      <c r="E47" s="78"/>
      <c r="F47" t="s">
        <v>159</v>
      </c>
      <c r="G47" t="s">
        <v>270</v>
      </c>
      <c r="H47" s="41"/>
      <c r="J47" s="111">
        <f>'Revenue matching'!J48</f>
        <v>0.75134981777169907</v>
      </c>
      <c r="K47" s="111">
        <f>'Revenue matching'!K48</f>
        <v>0</v>
      </c>
      <c r="L47" s="111">
        <f>'Revenue matching'!L48</f>
        <v>0.5241968534583672</v>
      </c>
      <c r="M47" s="111">
        <f>'Revenue matching'!M48</f>
        <v>0.5241968534583672</v>
      </c>
      <c r="N47" s="111">
        <f>'Revenue matching'!N48</f>
        <v>0.5241968534583672</v>
      </c>
      <c r="O47" s="111">
        <f>'Revenue matching'!O48</f>
        <v>0.5241968534583672</v>
      </c>
      <c r="P47" s="111">
        <f>'Revenue matching'!P48</f>
        <v>0.5241968534583672</v>
      </c>
      <c r="Q47" s="111">
        <f>'Revenue matching'!Q48</f>
        <v>0</v>
      </c>
      <c r="R47" s="111">
        <f>'Revenue matching'!R48</f>
        <v>0.5241968534583672</v>
      </c>
      <c r="S47" s="111">
        <f>'Revenue matching'!S48</f>
        <v>0.5241968534583672</v>
      </c>
      <c r="T47" s="111">
        <f>'Revenue matching'!T48</f>
        <v>0.5241968534583672</v>
      </c>
      <c r="U47" s="111">
        <f>'Revenue matching'!U48</f>
        <v>0.5241968534583672</v>
      </c>
      <c r="V47" s="111">
        <f>'Revenue matching'!V48</f>
        <v>0.5241968534583672</v>
      </c>
      <c r="W47" s="111">
        <f>'Revenue matching'!W48</f>
        <v>0.5241968534583672</v>
      </c>
      <c r="X47" s="111">
        <f>'Revenue matching'!X48</f>
        <v>0.5241968534583672</v>
      </c>
      <c r="Y47" s="111">
        <f>'Revenue matching'!Y48</f>
        <v>0.5241968534583672</v>
      </c>
      <c r="Z47" s="111">
        <f>'Revenue matching'!Z48</f>
        <v>0.5241968534583672</v>
      </c>
      <c r="AA47" s="111">
        <f>'Revenue matching'!AA48</f>
        <v>0.5241968534583672</v>
      </c>
      <c r="AB47" s="111">
        <f>'Revenue matching'!AB48</f>
        <v>0.5241968534583672</v>
      </c>
      <c r="AC47" s="111">
        <f>'Revenue matching'!AC48</f>
        <v>0.5241968534583672</v>
      </c>
      <c r="AD47" s="111">
        <f>'Revenue matching'!AD48</f>
        <v>0.5241968534583672</v>
      </c>
      <c r="AE47" s="111">
        <f>'Revenue matching'!AE48</f>
        <v>0.5241968534583672</v>
      </c>
      <c r="AF47" s="111">
        <f>'Revenue matching'!AF48</f>
        <v>0.5241968534583672</v>
      </c>
      <c r="AG47" s="111">
        <f>'Revenue matching'!AG48</f>
        <v>0</v>
      </c>
      <c r="AH47" s="111">
        <f>'Revenue matching'!AH48</f>
        <v>0</v>
      </c>
      <c r="AI47" s="111">
        <f>'Revenue matching'!AI48</f>
        <v>0</v>
      </c>
      <c r="AJ47" s="111">
        <f>'Revenue matching'!AJ48</f>
        <v>0</v>
      </c>
      <c r="AK47" s="111">
        <f>'Revenue matching'!AK48</f>
        <v>0</v>
      </c>
      <c r="AL47" s="111">
        <f>'Revenue matching'!AL48</f>
        <v>0</v>
      </c>
      <c r="AM47" s="111">
        <f>'Revenue matching'!AM48</f>
        <v>0</v>
      </c>
      <c r="AN47" s="111">
        <f>'Revenue matching'!AN48</f>
        <v>0</v>
      </c>
      <c r="AO47" s="111">
        <f>'Revenue matching'!AO48</f>
        <v>0</v>
      </c>
    </row>
    <row r="48" spans="3:43" x14ac:dyDescent="0.35">
      <c r="E48" s="78"/>
      <c r="F48" t="s">
        <v>160</v>
      </c>
      <c r="G48" t="s">
        <v>271</v>
      </c>
      <c r="H48" s="41"/>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row>
    <row r="49" spans="3:43" x14ac:dyDescent="0.35">
      <c r="E49" s="78"/>
      <c r="F49" t="s">
        <v>161</v>
      </c>
      <c r="G49" t="s">
        <v>271</v>
      </c>
      <c r="H49" s="41"/>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row>
    <row r="50" spans="3:43" x14ac:dyDescent="0.35">
      <c r="E50" s="78"/>
      <c r="F50" s="28" t="s">
        <v>162</v>
      </c>
      <c r="G50" s="28" t="s">
        <v>272</v>
      </c>
      <c r="H50" s="272"/>
      <c r="I50" s="258"/>
      <c r="J50" s="259"/>
      <c r="K50" s="259"/>
      <c r="L50" s="259"/>
      <c r="M50" s="259"/>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59"/>
      <c r="AN50" s="259"/>
      <c r="AO50" s="259"/>
    </row>
    <row r="51" spans="3:43" x14ac:dyDescent="0.35">
      <c r="D51" s="78"/>
      <c r="E51"/>
    </row>
    <row r="52" spans="3:43" x14ac:dyDescent="0.35">
      <c r="C52" s="26" t="str">
        <f ca="1">INDEX('Version control'!$H$38:$H$61,MATCH($A$1,'Version control'!$F$38:$F$61,0),1)&amp;"-D: LDNO discounts"</f>
        <v>Section 117-D: LDNO discounts</v>
      </c>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row>
    <row r="54" spans="3:43" x14ac:dyDescent="0.35">
      <c r="E54" s="41"/>
      <c r="F54" s="356" t="s">
        <v>1005</v>
      </c>
      <c r="G54" s="356" t="s">
        <v>149</v>
      </c>
      <c r="J54" s="41">
        <f>'Fixed inputs'!J170</f>
        <v>1</v>
      </c>
      <c r="K54" s="41">
        <f>'Fixed inputs'!K170</f>
        <v>2</v>
      </c>
      <c r="L54" s="41">
        <f>'Fixed inputs'!L170</f>
        <v>3</v>
      </c>
      <c r="M54" s="41">
        <f>'Fixed inputs'!M170</f>
        <v>3</v>
      </c>
      <c r="N54" s="41">
        <f>'Fixed inputs'!N170</f>
        <v>3</v>
      </c>
      <c r="O54" s="41">
        <f>'Fixed inputs'!O170</f>
        <v>3</v>
      </c>
      <c r="P54" s="41">
        <f>'Fixed inputs'!P170</f>
        <v>3</v>
      </c>
      <c r="Q54" s="41">
        <f>'Fixed inputs'!Q170</f>
        <v>4</v>
      </c>
      <c r="R54" s="41">
        <f>'Fixed inputs'!R170</f>
        <v>5</v>
      </c>
      <c r="S54" s="41">
        <f>'Fixed inputs'!S170</f>
        <v>5</v>
      </c>
      <c r="T54" s="41">
        <f>'Fixed inputs'!T170</f>
        <v>5</v>
      </c>
      <c r="U54" s="41">
        <f>'Fixed inputs'!U170</f>
        <v>5</v>
      </c>
      <c r="V54" s="41">
        <f>'Fixed inputs'!V170</f>
        <v>5</v>
      </c>
      <c r="W54" s="41">
        <f>'Fixed inputs'!W170</f>
        <v>6</v>
      </c>
      <c r="X54" s="41">
        <f>'Fixed inputs'!X170</f>
        <v>6</v>
      </c>
      <c r="Y54" s="41">
        <f>'Fixed inputs'!Y170</f>
        <v>6</v>
      </c>
      <c r="Z54" s="41">
        <f>'Fixed inputs'!Z170</f>
        <v>6</v>
      </c>
      <c r="AA54" s="41">
        <f>'Fixed inputs'!AA170</f>
        <v>6</v>
      </c>
      <c r="AB54" s="41">
        <f>'Fixed inputs'!AB170</f>
        <v>7</v>
      </c>
      <c r="AC54" s="41">
        <f>'Fixed inputs'!AC170</f>
        <v>7</v>
      </c>
      <c r="AD54" s="41">
        <f>'Fixed inputs'!AD170</f>
        <v>7</v>
      </c>
      <c r="AE54" s="41">
        <f>'Fixed inputs'!AE170</f>
        <v>7</v>
      </c>
      <c r="AF54" s="41">
        <f>'Fixed inputs'!AF170</f>
        <v>7</v>
      </c>
      <c r="AG54" s="41">
        <f>'Fixed inputs'!AG170</f>
        <v>8</v>
      </c>
      <c r="AH54" s="41">
        <f>'Fixed inputs'!AH170</f>
        <v>9</v>
      </c>
      <c r="AI54" s="41">
        <f>'Fixed inputs'!AI170</f>
        <v>10</v>
      </c>
      <c r="AJ54" s="41">
        <f>'Fixed inputs'!AJ170</f>
        <v>11</v>
      </c>
      <c r="AK54" s="41">
        <f>'Fixed inputs'!AK170</f>
        <v>12</v>
      </c>
      <c r="AL54" s="41">
        <f>'Fixed inputs'!AL170</f>
        <v>13</v>
      </c>
      <c r="AM54" s="41">
        <f>'Fixed inputs'!AM170</f>
        <v>14</v>
      </c>
      <c r="AN54" s="41">
        <f>'Fixed inputs'!AN170</f>
        <v>15</v>
      </c>
      <c r="AO54" s="41">
        <f>'Fixed inputs'!AO170</f>
        <v>16</v>
      </c>
    </row>
    <row r="56" spans="3:43" ht="43.5" x14ac:dyDescent="0.35">
      <c r="E56" s="78" t="s">
        <v>747</v>
      </c>
      <c r="I56" t="s">
        <v>154</v>
      </c>
      <c r="J56" s="226" t="s">
        <v>827</v>
      </c>
      <c r="K56" s="226" t="s">
        <v>829</v>
      </c>
      <c r="L56" s="226" t="s">
        <v>828</v>
      </c>
      <c r="M56" s="226" t="s">
        <v>830</v>
      </c>
      <c r="N56" s="226" t="s">
        <v>836</v>
      </c>
      <c r="O56" s="226" t="s">
        <v>837</v>
      </c>
      <c r="P56" s="226" t="s">
        <v>838</v>
      </c>
      <c r="Q56" s="226" t="s">
        <v>839</v>
      </c>
      <c r="R56" s="226" t="s">
        <v>831</v>
      </c>
      <c r="S56" s="226" t="s">
        <v>832</v>
      </c>
      <c r="T56" s="226" t="s">
        <v>833</v>
      </c>
      <c r="U56" s="226" t="s">
        <v>842</v>
      </c>
      <c r="V56" s="226" t="s">
        <v>834</v>
      </c>
      <c r="W56" s="226" t="s">
        <v>841</v>
      </c>
      <c r="X56" s="226" t="s">
        <v>835</v>
      </c>
      <c r="Y56" s="226" t="s">
        <v>840</v>
      </c>
    </row>
    <row r="57" spans="3:43" x14ac:dyDescent="0.35">
      <c r="E57" s="78"/>
      <c r="F57" s="19" t="s">
        <v>156</v>
      </c>
      <c r="G57" s="19" t="s">
        <v>167</v>
      </c>
      <c r="H57" s="164"/>
      <c r="I57" s="19"/>
      <c r="J57" s="327">
        <f>'Volume adjustments'!J315</f>
        <v>0.37097391060683016</v>
      </c>
      <c r="K57" s="327">
        <f>'Volume adjustments'!K315</f>
        <v>0.37097391060683016</v>
      </c>
      <c r="L57" s="327">
        <f>'Volume adjustments'!L315</f>
        <v>0.37097391060683016</v>
      </c>
      <c r="M57" s="327">
        <f>'Volume adjustments'!M315</f>
        <v>0.37097391060683016</v>
      </c>
      <c r="N57" s="327">
        <f>'Volume adjustments'!N315</f>
        <v>0.37097391060683016</v>
      </c>
      <c r="O57" s="327">
        <f>'Volume adjustments'!O315</f>
        <v>0</v>
      </c>
      <c r="P57" s="327">
        <f>'Volume adjustments'!P315</f>
        <v>0</v>
      </c>
      <c r="Q57" s="327">
        <f>'Volume adjustments'!Q315</f>
        <v>0.37097391060683016</v>
      </c>
      <c r="R57" s="327">
        <f>'Volume adjustments'!R315</f>
        <v>0</v>
      </c>
      <c r="S57" s="327">
        <f>'Volume adjustments'!S315</f>
        <v>0</v>
      </c>
      <c r="T57" s="327">
        <f>'Volume adjustments'!T315</f>
        <v>0</v>
      </c>
      <c r="U57" s="327">
        <f>'Volume adjustments'!U315</f>
        <v>0</v>
      </c>
      <c r="V57" s="327">
        <f>'Volume adjustments'!V315</f>
        <v>0</v>
      </c>
      <c r="W57" s="327">
        <f>'Volume adjustments'!W315</f>
        <v>0</v>
      </c>
      <c r="X57" s="327">
        <f>'Volume adjustments'!X315</f>
        <v>0</v>
      </c>
      <c r="Y57" s="327">
        <f>'Volume adjustments'!Y315</f>
        <v>0</v>
      </c>
    </row>
    <row r="58" spans="3:43" x14ac:dyDescent="0.35">
      <c r="E58" s="78"/>
      <c r="F58" t="s">
        <v>157</v>
      </c>
      <c r="G58" t="s">
        <v>167</v>
      </c>
      <c r="H58" s="41"/>
      <c r="J58" s="328">
        <f>'Volume adjustments'!J316</f>
        <v>0.37097391060683016</v>
      </c>
      <c r="K58" s="328">
        <f>'Volume adjustments'!K316</f>
        <v>0.37097391060683016</v>
      </c>
      <c r="L58" s="328">
        <f>'Volume adjustments'!L316</f>
        <v>0.37097391060683016</v>
      </c>
      <c r="M58" s="328">
        <f>'Volume adjustments'!M316</f>
        <v>0.37097391060683016</v>
      </c>
      <c r="N58" s="328">
        <f>'Volume adjustments'!N316</f>
        <v>0.37097391060683016</v>
      </c>
      <c r="O58" s="328">
        <f>'Volume adjustments'!O316</f>
        <v>0</v>
      </c>
      <c r="P58" s="328">
        <f>'Volume adjustments'!P316</f>
        <v>0</v>
      </c>
      <c r="Q58" s="328">
        <f>'Volume adjustments'!Q316</f>
        <v>0.37097391060683016</v>
      </c>
      <c r="R58" s="328">
        <f>'Volume adjustments'!R316</f>
        <v>0</v>
      </c>
      <c r="S58" s="328">
        <f>'Volume adjustments'!S316</f>
        <v>0</v>
      </c>
      <c r="T58" s="328">
        <f>'Volume adjustments'!T316</f>
        <v>0</v>
      </c>
      <c r="U58" s="328">
        <f>'Volume adjustments'!U316</f>
        <v>0</v>
      </c>
      <c r="V58" s="328">
        <f>'Volume adjustments'!V316</f>
        <v>0</v>
      </c>
      <c r="W58" s="328">
        <f>'Volume adjustments'!W316</f>
        <v>0</v>
      </c>
      <c r="X58" s="328">
        <f>'Volume adjustments'!X316</f>
        <v>0</v>
      </c>
      <c r="Y58" s="328">
        <f>'Volume adjustments'!Y316</f>
        <v>0</v>
      </c>
    </row>
    <row r="59" spans="3:43" x14ac:dyDescent="0.35">
      <c r="E59" s="78"/>
      <c r="F59" t="s">
        <v>158</v>
      </c>
      <c r="G59" t="s">
        <v>167</v>
      </c>
      <c r="H59" s="41"/>
      <c r="J59" s="328">
        <f>'Volume adjustments'!J317</f>
        <v>0.37097391060683016</v>
      </c>
      <c r="K59" s="328">
        <f>'Volume adjustments'!K317</f>
        <v>0.37097391060683016</v>
      </c>
      <c r="L59" s="328">
        <f>'Volume adjustments'!L317</f>
        <v>0.37097391060683016</v>
      </c>
      <c r="M59" s="328">
        <f>'Volume adjustments'!M317</f>
        <v>0.37097391060683016</v>
      </c>
      <c r="N59" s="328">
        <f>'Volume adjustments'!N317</f>
        <v>0.37097391060683016</v>
      </c>
      <c r="O59" s="328">
        <f>'Volume adjustments'!O317</f>
        <v>0</v>
      </c>
      <c r="P59" s="328">
        <f>'Volume adjustments'!P317</f>
        <v>0</v>
      </c>
      <c r="Q59" s="328">
        <f>'Volume adjustments'!Q317</f>
        <v>0.37097391060683016</v>
      </c>
      <c r="R59" s="328">
        <f>'Volume adjustments'!R317</f>
        <v>0</v>
      </c>
      <c r="S59" s="328">
        <f>'Volume adjustments'!S317</f>
        <v>0</v>
      </c>
      <c r="T59" s="328">
        <f>'Volume adjustments'!T317</f>
        <v>0</v>
      </c>
      <c r="U59" s="328">
        <f>'Volume adjustments'!U317</f>
        <v>0</v>
      </c>
      <c r="V59" s="328">
        <f>'Volume adjustments'!V317</f>
        <v>0</v>
      </c>
      <c r="W59" s="328">
        <f>'Volume adjustments'!W317</f>
        <v>0</v>
      </c>
      <c r="X59" s="328">
        <f>'Volume adjustments'!X317</f>
        <v>0</v>
      </c>
      <c r="Y59" s="328">
        <f>'Volume adjustments'!Y317</f>
        <v>0</v>
      </c>
    </row>
    <row r="60" spans="3:43" x14ac:dyDescent="0.35">
      <c r="E60" s="78"/>
      <c r="F60" t="s">
        <v>159</v>
      </c>
      <c r="G60" t="s">
        <v>167</v>
      </c>
      <c r="H60" s="41"/>
      <c r="J60" s="328">
        <f>'Volume adjustments'!J318</f>
        <v>0.37097391060683016</v>
      </c>
      <c r="K60" s="328">
        <f>'Volume adjustments'!K318</f>
        <v>0.37097391060683016</v>
      </c>
      <c r="L60" s="328">
        <f>'Volume adjustments'!L318</f>
        <v>0.37097391060683016</v>
      </c>
      <c r="M60" s="328">
        <f>'Volume adjustments'!M318</f>
        <v>0.37097391060683016</v>
      </c>
      <c r="N60" s="328">
        <f>'Volume adjustments'!N318</f>
        <v>0.37097391060683016</v>
      </c>
      <c r="O60" s="328">
        <f>'Volume adjustments'!O318</f>
        <v>0</v>
      </c>
      <c r="P60" s="328">
        <f>'Volume adjustments'!P318</f>
        <v>0</v>
      </c>
      <c r="Q60" s="328">
        <f>'Volume adjustments'!Q318</f>
        <v>0.37097391060683016</v>
      </c>
      <c r="R60" s="328">
        <f>'Volume adjustments'!R318</f>
        <v>1</v>
      </c>
      <c r="S60" s="328">
        <f>'Volume adjustments'!S318</f>
        <v>1</v>
      </c>
      <c r="T60" s="328">
        <f>'Volume adjustments'!T318</f>
        <v>1</v>
      </c>
      <c r="U60" s="328">
        <f>'Volume adjustments'!U318</f>
        <v>1</v>
      </c>
      <c r="V60" s="328">
        <f>'Volume adjustments'!V318</f>
        <v>1</v>
      </c>
      <c r="W60" s="328">
        <f>'Volume adjustments'!W318</f>
        <v>1</v>
      </c>
      <c r="X60" s="328">
        <f>'Volume adjustments'!X318</f>
        <v>1</v>
      </c>
      <c r="Y60" s="328">
        <f>'Volume adjustments'!Y318</f>
        <v>1</v>
      </c>
    </row>
    <row r="61" spans="3:43" x14ac:dyDescent="0.35">
      <c r="E61" s="78"/>
      <c r="F61" t="s">
        <v>160</v>
      </c>
      <c r="G61" t="s">
        <v>167</v>
      </c>
      <c r="H61" s="41"/>
      <c r="J61" s="328">
        <f>'Volume adjustments'!J319</f>
        <v>0.37097391060683016</v>
      </c>
      <c r="K61" s="328">
        <f>'Volume adjustments'!K319</f>
        <v>0.37097391060683016</v>
      </c>
      <c r="L61" s="328">
        <f>'Volume adjustments'!L319</f>
        <v>0.37097391060683016</v>
      </c>
      <c r="M61" s="328">
        <f>'Volume adjustments'!M319</f>
        <v>0.37097391060683016</v>
      </c>
      <c r="N61" s="328">
        <f>'Volume adjustments'!N319</f>
        <v>0.37097391060683016</v>
      </c>
      <c r="O61" s="328">
        <f>'Volume adjustments'!O319</f>
        <v>0</v>
      </c>
      <c r="P61" s="328">
        <f>'Volume adjustments'!P319</f>
        <v>0</v>
      </c>
      <c r="Q61" s="328">
        <f>'Volume adjustments'!Q319</f>
        <v>0.37097391060683016</v>
      </c>
      <c r="R61" s="328">
        <f>'Volume adjustments'!R319</f>
        <v>0</v>
      </c>
      <c r="S61" s="328">
        <f>'Volume adjustments'!S319</f>
        <v>0</v>
      </c>
      <c r="T61" s="328">
        <f>'Volume adjustments'!T319</f>
        <v>0</v>
      </c>
      <c r="U61" s="328">
        <f>'Volume adjustments'!U319</f>
        <v>0</v>
      </c>
      <c r="V61" s="328">
        <f>'Volume adjustments'!V319</f>
        <v>0</v>
      </c>
      <c r="W61" s="328">
        <f>'Volume adjustments'!W319</f>
        <v>0</v>
      </c>
      <c r="X61" s="328">
        <f>'Volume adjustments'!X319</f>
        <v>0</v>
      </c>
      <c r="Y61" s="328">
        <f>'Volume adjustments'!Y319</f>
        <v>0</v>
      </c>
    </row>
    <row r="62" spans="3:43" x14ac:dyDescent="0.35">
      <c r="E62" s="78"/>
      <c r="F62" t="s">
        <v>161</v>
      </c>
      <c r="G62" t="s">
        <v>167</v>
      </c>
      <c r="H62" s="41"/>
      <c r="J62" s="328">
        <f>'Volume adjustments'!J320</f>
        <v>0.37097391060683016</v>
      </c>
      <c r="K62" s="328">
        <f>'Volume adjustments'!K320</f>
        <v>0.37097391060683016</v>
      </c>
      <c r="L62" s="328">
        <f>'Volume adjustments'!L320</f>
        <v>0.37097391060683016</v>
      </c>
      <c r="M62" s="328">
        <f>'Volume adjustments'!M320</f>
        <v>0.37097391060683016</v>
      </c>
      <c r="N62" s="328">
        <f>'Volume adjustments'!N320</f>
        <v>0.37097391060683016</v>
      </c>
      <c r="O62" s="328">
        <f>'Volume adjustments'!O320</f>
        <v>0</v>
      </c>
      <c r="P62" s="328">
        <f>'Volume adjustments'!P320</f>
        <v>0</v>
      </c>
      <c r="Q62" s="328">
        <f>'Volume adjustments'!Q320</f>
        <v>0.37097391060683016</v>
      </c>
      <c r="R62" s="328">
        <f>'Volume adjustments'!R320</f>
        <v>0</v>
      </c>
      <c r="S62" s="328">
        <f>'Volume adjustments'!S320</f>
        <v>0</v>
      </c>
      <c r="T62" s="328">
        <f>'Volume adjustments'!T320</f>
        <v>0</v>
      </c>
      <c r="U62" s="328">
        <f>'Volume adjustments'!U320</f>
        <v>0</v>
      </c>
      <c r="V62" s="328">
        <f>'Volume adjustments'!V320</f>
        <v>0</v>
      </c>
      <c r="W62" s="328">
        <f>'Volume adjustments'!W320</f>
        <v>0</v>
      </c>
      <c r="X62" s="328">
        <f>'Volume adjustments'!X320</f>
        <v>0</v>
      </c>
      <c r="Y62" s="328">
        <f>'Volume adjustments'!Y320</f>
        <v>0</v>
      </c>
    </row>
    <row r="63" spans="3:43" x14ac:dyDescent="0.35">
      <c r="E63" s="78"/>
      <c r="F63" s="28" t="s">
        <v>162</v>
      </c>
      <c r="G63" s="28" t="s">
        <v>167</v>
      </c>
      <c r="H63" s="201"/>
      <c r="I63" s="28"/>
      <c r="J63" s="329">
        <f>'Volume adjustments'!J321</f>
        <v>0.37097391060683016</v>
      </c>
      <c r="K63" s="329">
        <f>'Volume adjustments'!K321</f>
        <v>0.37097391060683016</v>
      </c>
      <c r="L63" s="329">
        <f>'Volume adjustments'!L321</f>
        <v>0.37097391060683016</v>
      </c>
      <c r="M63" s="329">
        <f>'Volume adjustments'!M321</f>
        <v>0.37097391060683016</v>
      </c>
      <c r="N63" s="329">
        <f>'Volume adjustments'!N321</f>
        <v>0.37097391060683016</v>
      </c>
      <c r="O63" s="329">
        <f>'Volume adjustments'!O321</f>
        <v>0</v>
      </c>
      <c r="P63" s="329">
        <f>'Volume adjustments'!P321</f>
        <v>0</v>
      </c>
      <c r="Q63" s="329">
        <f>'Volume adjustments'!Q321</f>
        <v>0.37097391060683016</v>
      </c>
      <c r="R63" s="329">
        <f>'Volume adjustments'!R321</f>
        <v>0</v>
      </c>
      <c r="S63" s="329">
        <f>'Volume adjustments'!S321</f>
        <v>0</v>
      </c>
      <c r="T63" s="329">
        <f>'Volume adjustments'!T321</f>
        <v>0</v>
      </c>
      <c r="U63" s="329">
        <f>'Volume adjustments'!U321</f>
        <v>0</v>
      </c>
      <c r="V63" s="329">
        <f>'Volume adjustments'!V321</f>
        <v>0</v>
      </c>
      <c r="W63" s="329">
        <f>'Volume adjustments'!W321</f>
        <v>0</v>
      </c>
      <c r="X63" s="329">
        <f>'Volume adjustments'!X321</f>
        <v>0</v>
      </c>
      <c r="Y63" s="329">
        <f>'Volume adjustments'!Y321</f>
        <v>0</v>
      </c>
    </row>
    <row r="64" spans="3:43" x14ac:dyDescent="0.35">
      <c r="E64"/>
    </row>
    <row r="65" spans="4:43" ht="43.5" x14ac:dyDescent="0.35">
      <c r="E65" s="78" t="s">
        <v>748</v>
      </c>
      <c r="I65" t="s">
        <v>154</v>
      </c>
      <c r="J65" s="226" t="s">
        <v>827</v>
      </c>
      <c r="K65" s="226" t="s">
        <v>829</v>
      </c>
      <c r="L65" s="226" t="s">
        <v>828</v>
      </c>
      <c r="M65" s="226" t="s">
        <v>830</v>
      </c>
      <c r="N65" s="226" t="s">
        <v>836</v>
      </c>
      <c r="O65" s="226" t="s">
        <v>837</v>
      </c>
      <c r="P65" s="226" t="s">
        <v>838</v>
      </c>
      <c r="Q65" s="226" t="s">
        <v>839</v>
      </c>
      <c r="R65" s="226" t="s">
        <v>831</v>
      </c>
      <c r="S65" s="226" t="s">
        <v>832</v>
      </c>
      <c r="T65" s="226" t="s">
        <v>833</v>
      </c>
      <c r="U65" s="226" t="s">
        <v>842</v>
      </c>
      <c r="V65" s="226" t="s">
        <v>834</v>
      </c>
      <c r="W65" s="226" t="s">
        <v>841</v>
      </c>
      <c r="X65" s="226" t="s">
        <v>835</v>
      </c>
      <c r="Y65" s="226" t="s">
        <v>840</v>
      </c>
    </row>
    <row r="66" spans="4:43" x14ac:dyDescent="0.35">
      <c r="E66" s="78"/>
      <c r="F66" s="19" t="s">
        <v>156</v>
      </c>
      <c r="G66" s="19" t="s">
        <v>167</v>
      </c>
      <c r="H66" s="164"/>
      <c r="I66" s="19"/>
      <c r="J66" s="327">
        <f>'Volume adjustments'!J324</f>
        <v>0.54529202281657996</v>
      </c>
      <c r="K66" s="327">
        <f>'Volume adjustments'!K324</f>
        <v>0.54529202281657996</v>
      </c>
      <c r="L66" s="327">
        <f>'Volume adjustments'!L324</f>
        <v>0.54529202281657996</v>
      </c>
      <c r="M66" s="327">
        <f>'Volume adjustments'!M324</f>
        <v>0.54529202281657996</v>
      </c>
      <c r="N66" s="327">
        <f>'Volume adjustments'!N324</f>
        <v>0.54529202281657996</v>
      </c>
      <c r="O66" s="327">
        <f>'Volume adjustments'!O324</f>
        <v>0.25951924258539139</v>
      </c>
      <c r="P66" s="327">
        <f>'Volume adjustments'!P324</f>
        <v>0.15142745426120777</v>
      </c>
      <c r="Q66" s="327">
        <f>'Volume adjustments'!Q324</f>
        <v>0.54529202281657996</v>
      </c>
      <c r="R66" s="327">
        <f>'Volume adjustments'!R324</f>
        <v>0</v>
      </c>
      <c r="S66" s="327">
        <f>'Volume adjustments'!S324</f>
        <v>0</v>
      </c>
      <c r="T66" s="327">
        <f>'Volume adjustments'!T324</f>
        <v>0</v>
      </c>
      <c r="U66" s="327">
        <f>'Volume adjustments'!U324</f>
        <v>0</v>
      </c>
      <c r="V66" s="327">
        <f>'Volume adjustments'!V324</f>
        <v>0</v>
      </c>
      <c r="W66" s="327">
        <f>'Volume adjustments'!W324</f>
        <v>0</v>
      </c>
      <c r="X66" s="327">
        <f>'Volume adjustments'!X324</f>
        <v>0</v>
      </c>
      <c r="Y66" s="327">
        <f>'Volume adjustments'!Y324</f>
        <v>0</v>
      </c>
    </row>
    <row r="67" spans="4:43" x14ac:dyDescent="0.35">
      <c r="E67" s="78"/>
      <c r="F67" t="s">
        <v>157</v>
      </c>
      <c r="G67" t="s">
        <v>167</v>
      </c>
      <c r="H67" s="41"/>
      <c r="J67" s="328">
        <f>'Volume adjustments'!J325</f>
        <v>0.54529202281657996</v>
      </c>
      <c r="K67" s="328">
        <f>'Volume adjustments'!K325</f>
        <v>0.54529202281657996</v>
      </c>
      <c r="L67" s="328">
        <f>'Volume adjustments'!L325</f>
        <v>0.54529202281657996</v>
      </c>
      <c r="M67" s="328">
        <f>'Volume adjustments'!M325</f>
        <v>0.54529202281657996</v>
      </c>
      <c r="N67" s="328">
        <f>'Volume adjustments'!N325</f>
        <v>0.54529202281657996</v>
      </c>
      <c r="O67" s="328">
        <f>'Volume adjustments'!O325</f>
        <v>0.25951924258539139</v>
      </c>
      <c r="P67" s="328">
        <f>'Volume adjustments'!P325</f>
        <v>0.15142745426120777</v>
      </c>
      <c r="Q67" s="328">
        <f>'Volume adjustments'!Q325</f>
        <v>0.54529202281657996</v>
      </c>
      <c r="R67" s="328">
        <f>'Volume adjustments'!R325</f>
        <v>0</v>
      </c>
      <c r="S67" s="328">
        <f>'Volume adjustments'!S325</f>
        <v>0</v>
      </c>
      <c r="T67" s="328">
        <f>'Volume adjustments'!T325</f>
        <v>0</v>
      </c>
      <c r="U67" s="328">
        <f>'Volume adjustments'!U325</f>
        <v>0</v>
      </c>
      <c r="V67" s="328">
        <f>'Volume adjustments'!V325</f>
        <v>0</v>
      </c>
      <c r="W67" s="328">
        <f>'Volume adjustments'!W325</f>
        <v>0</v>
      </c>
      <c r="X67" s="328">
        <f>'Volume adjustments'!X325</f>
        <v>0</v>
      </c>
      <c r="Y67" s="328">
        <f>'Volume adjustments'!Y325</f>
        <v>0</v>
      </c>
    </row>
    <row r="68" spans="4:43" x14ac:dyDescent="0.35">
      <c r="E68" s="78"/>
      <c r="F68" t="s">
        <v>158</v>
      </c>
      <c r="G68" t="s">
        <v>167</v>
      </c>
      <c r="H68" s="41"/>
      <c r="J68" s="328">
        <f>'Volume adjustments'!J326</f>
        <v>0.54529202281657996</v>
      </c>
      <c r="K68" s="328">
        <f>'Volume adjustments'!K326</f>
        <v>0.54529202281657996</v>
      </c>
      <c r="L68" s="328">
        <f>'Volume adjustments'!L326</f>
        <v>0.54529202281657996</v>
      </c>
      <c r="M68" s="328">
        <f>'Volume adjustments'!M326</f>
        <v>0.54529202281657996</v>
      </c>
      <c r="N68" s="328">
        <f>'Volume adjustments'!N326</f>
        <v>0.54529202281657996</v>
      </c>
      <c r="O68" s="328">
        <f>'Volume adjustments'!O326</f>
        <v>0.25951924258539139</v>
      </c>
      <c r="P68" s="328">
        <f>'Volume adjustments'!P326</f>
        <v>0.15142745426120777</v>
      </c>
      <c r="Q68" s="328">
        <f>'Volume adjustments'!Q326</f>
        <v>0.54529202281657996</v>
      </c>
      <c r="R68" s="328">
        <f>'Volume adjustments'!R326</f>
        <v>0</v>
      </c>
      <c r="S68" s="328">
        <f>'Volume adjustments'!S326</f>
        <v>0</v>
      </c>
      <c r="T68" s="328">
        <f>'Volume adjustments'!T326</f>
        <v>0</v>
      </c>
      <c r="U68" s="328">
        <f>'Volume adjustments'!U326</f>
        <v>0</v>
      </c>
      <c r="V68" s="328">
        <f>'Volume adjustments'!V326</f>
        <v>0</v>
      </c>
      <c r="W68" s="328">
        <f>'Volume adjustments'!W326</f>
        <v>0</v>
      </c>
      <c r="X68" s="328">
        <f>'Volume adjustments'!X326</f>
        <v>0</v>
      </c>
      <c r="Y68" s="328">
        <f>'Volume adjustments'!Y326</f>
        <v>0</v>
      </c>
    </row>
    <row r="69" spans="4:43" x14ac:dyDescent="0.35">
      <c r="E69" s="78"/>
      <c r="F69" t="s">
        <v>159</v>
      </c>
      <c r="G69" t="s">
        <v>167</v>
      </c>
      <c r="H69" s="41"/>
      <c r="J69" s="328">
        <f>'Volume adjustments'!J327</f>
        <v>0.54529202281657996</v>
      </c>
      <c r="K69" s="328">
        <f>'Volume adjustments'!K327</f>
        <v>0.54529202281657996</v>
      </c>
      <c r="L69" s="328">
        <f>'Volume adjustments'!L327</f>
        <v>0.54529202281657996</v>
      </c>
      <c r="M69" s="328">
        <f>'Volume adjustments'!M327</f>
        <v>0.54529202281657996</v>
      </c>
      <c r="N69" s="328">
        <f>'Volume adjustments'!N327</f>
        <v>0.54529202281657996</v>
      </c>
      <c r="O69" s="328">
        <f>'Volume adjustments'!O327</f>
        <v>0.25951924258539139</v>
      </c>
      <c r="P69" s="328">
        <f>'Volume adjustments'!P327</f>
        <v>0.15142745426120777</v>
      </c>
      <c r="Q69" s="328">
        <f>'Volume adjustments'!Q327</f>
        <v>0.54529202281657996</v>
      </c>
      <c r="R69" s="328">
        <f>'Volume adjustments'!R327</f>
        <v>1</v>
      </c>
      <c r="S69" s="328">
        <f>'Volume adjustments'!S327</f>
        <v>1</v>
      </c>
      <c r="T69" s="328">
        <f>'Volume adjustments'!T327</f>
        <v>1</v>
      </c>
      <c r="U69" s="328">
        <f>'Volume adjustments'!U327</f>
        <v>1</v>
      </c>
      <c r="V69" s="328">
        <f>'Volume adjustments'!V327</f>
        <v>1</v>
      </c>
      <c r="W69" s="328">
        <f>'Volume adjustments'!W327</f>
        <v>1</v>
      </c>
      <c r="X69" s="328">
        <f>'Volume adjustments'!X327</f>
        <v>1</v>
      </c>
      <c r="Y69" s="328">
        <f>'Volume adjustments'!Y327</f>
        <v>1</v>
      </c>
    </row>
    <row r="70" spans="4:43" x14ac:dyDescent="0.35">
      <c r="E70" s="78"/>
      <c r="F70" t="s">
        <v>160</v>
      </c>
      <c r="G70" t="s">
        <v>167</v>
      </c>
      <c r="H70" s="41"/>
      <c r="J70" s="328">
        <f>'Volume adjustments'!J328</f>
        <v>0.54529202281657996</v>
      </c>
      <c r="K70" s="328">
        <f>'Volume adjustments'!K328</f>
        <v>0.54529202281657996</v>
      </c>
      <c r="L70" s="328">
        <f>'Volume adjustments'!L328</f>
        <v>0.54529202281657996</v>
      </c>
      <c r="M70" s="328">
        <f>'Volume adjustments'!M328</f>
        <v>0.54529202281657996</v>
      </c>
      <c r="N70" s="328">
        <f>'Volume adjustments'!N328</f>
        <v>0.54529202281657996</v>
      </c>
      <c r="O70" s="328">
        <f>'Volume adjustments'!O328</f>
        <v>0.25951924258539139</v>
      </c>
      <c r="P70" s="328">
        <f>'Volume adjustments'!P328</f>
        <v>0.15142745426120777</v>
      </c>
      <c r="Q70" s="328">
        <f>'Volume adjustments'!Q328</f>
        <v>0.54529202281657996</v>
      </c>
      <c r="R70" s="328">
        <f>'Volume adjustments'!R328</f>
        <v>0</v>
      </c>
      <c r="S70" s="328">
        <f>'Volume adjustments'!S328</f>
        <v>0</v>
      </c>
      <c r="T70" s="328">
        <f>'Volume adjustments'!T328</f>
        <v>0</v>
      </c>
      <c r="U70" s="328">
        <f>'Volume adjustments'!U328</f>
        <v>0</v>
      </c>
      <c r="V70" s="328">
        <f>'Volume adjustments'!V328</f>
        <v>0</v>
      </c>
      <c r="W70" s="328">
        <f>'Volume adjustments'!W328</f>
        <v>0</v>
      </c>
      <c r="X70" s="328">
        <f>'Volume adjustments'!X328</f>
        <v>0</v>
      </c>
      <c r="Y70" s="328">
        <f>'Volume adjustments'!Y328</f>
        <v>0</v>
      </c>
    </row>
    <row r="71" spans="4:43" x14ac:dyDescent="0.35">
      <c r="E71" s="78"/>
      <c r="F71" t="s">
        <v>161</v>
      </c>
      <c r="G71" t="s">
        <v>167</v>
      </c>
      <c r="H71" s="41"/>
      <c r="J71" s="328">
        <f>'Volume adjustments'!J329</f>
        <v>0.54529202281657996</v>
      </c>
      <c r="K71" s="328">
        <f>'Volume adjustments'!K329</f>
        <v>0.54529202281657996</v>
      </c>
      <c r="L71" s="328">
        <f>'Volume adjustments'!L329</f>
        <v>0.54529202281657996</v>
      </c>
      <c r="M71" s="328">
        <f>'Volume adjustments'!M329</f>
        <v>0.54529202281657996</v>
      </c>
      <c r="N71" s="328">
        <f>'Volume adjustments'!N329</f>
        <v>0.54529202281657996</v>
      </c>
      <c r="O71" s="328">
        <f>'Volume adjustments'!O329</f>
        <v>0.25951924258539139</v>
      </c>
      <c r="P71" s="328">
        <f>'Volume adjustments'!P329</f>
        <v>0.15142745426120777</v>
      </c>
      <c r="Q71" s="328">
        <f>'Volume adjustments'!Q329</f>
        <v>0.54529202281657996</v>
      </c>
      <c r="R71" s="328">
        <f>'Volume adjustments'!R329</f>
        <v>0</v>
      </c>
      <c r="S71" s="328">
        <f>'Volume adjustments'!S329</f>
        <v>0</v>
      </c>
      <c r="T71" s="328">
        <f>'Volume adjustments'!T329</f>
        <v>0</v>
      </c>
      <c r="U71" s="328">
        <f>'Volume adjustments'!U329</f>
        <v>0</v>
      </c>
      <c r="V71" s="328">
        <f>'Volume adjustments'!V329</f>
        <v>0</v>
      </c>
      <c r="W71" s="328">
        <f>'Volume adjustments'!W329</f>
        <v>0</v>
      </c>
      <c r="X71" s="328">
        <f>'Volume adjustments'!X329</f>
        <v>0</v>
      </c>
      <c r="Y71" s="328">
        <f>'Volume adjustments'!Y329</f>
        <v>0</v>
      </c>
    </row>
    <row r="72" spans="4:43" x14ac:dyDescent="0.35">
      <c r="E72" s="78"/>
      <c r="F72" s="28" t="s">
        <v>162</v>
      </c>
      <c r="G72" s="28" t="s">
        <v>167</v>
      </c>
      <c r="H72" s="201"/>
      <c r="I72" s="28"/>
      <c r="J72" s="329">
        <f>'Volume adjustments'!J330</f>
        <v>0.54529202281657996</v>
      </c>
      <c r="K72" s="329">
        <f>'Volume adjustments'!K330</f>
        <v>0.54529202281657996</v>
      </c>
      <c r="L72" s="329">
        <f>'Volume adjustments'!L330</f>
        <v>0.54529202281657996</v>
      </c>
      <c r="M72" s="329">
        <f>'Volume adjustments'!M330</f>
        <v>0.54529202281657996</v>
      </c>
      <c r="N72" s="329">
        <f>'Volume adjustments'!N330</f>
        <v>0.54529202281657996</v>
      </c>
      <c r="O72" s="329">
        <f>'Volume adjustments'!O330</f>
        <v>0.25951924258539139</v>
      </c>
      <c r="P72" s="329">
        <f>'Volume adjustments'!P330</f>
        <v>0.15142745426120777</v>
      </c>
      <c r="Q72" s="329">
        <f>'Volume adjustments'!Q330</f>
        <v>0.54529202281657996</v>
      </c>
      <c r="R72" s="329">
        <f>'Volume adjustments'!R330</f>
        <v>0</v>
      </c>
      <c r="S72" s="329">
        <f>'Volume adjustments'!S330</f>
        <v>0</v>
      </c>
      <c r="T72" s="329">
        <f>'Volume adjustments'!T330</f>
        <v>0</v>
      </c>
      <c r="U72" s="329">
        <f>'Volume adjustments'!U330</f>
        <v>0</v>
      </c>
      <c r="V72" s="329">
        <f>'Volume adjustments'!V330</f>
        <v>0</v>
      </c>
      <c r="W72" s="329">
        <f>'Volume adjustments'!W330</f>
        <v>0</v>
      </c>
      <c r="X72" s="329">
        <f>'Volume adjustments'!X330</f>
        <v>0</v>
      </c>
      <c r="Y72" s="329">
        <f>'Volume adjustments'!Y330</f>
        <v>0</v>
      </c>
    </row>
    <row r="73" spans="4:43" x14ac:dyDescent="0.35">
      <c r="E73"/>
    </row>
    <row r="74" spans="4:43" x14ac:dyDescent="0.35">
      <c r="D74"/>
      <c r="E74" s="78" t="s">
        <v>747</v>
      </c>
      <c r="I74" t="s">
        <v>154</v>
      </c>
      <c r="AQ74" t="s">
        <v>427</v>
      </c>
    </row>
    <row r="75" spans="4:43" x14ac:dyDescent="0.35">
      <c r="D75"/>
      <c r="E75" s="78"/>
      <c r="F75" s="19" t="s">
        <v>156</v>
      </c>
      <c r="G75" s="19" t="s">
        <v>167</v>
      </c>
      <c r="H75" s="164"/>
      <c r="I75" s="19"/>
      <c r="J75" s="144">
        <f>INDEX($J57:$Y57,J$54)</f>
        <v>0.37097391060683016</v>
      </c>
      <c r="K75" s="144">
        <f t="shared" ref="K75:AO75" si="0">INDEX($J57:$Y57,K$54)</f>
        <v>0.37097391060683016</v>
      </c>
      <c r="L75" s="144">
        <f t="shared" si="0"/>
        <v>0.37097391060683016</v>
      </c>
      <c r="M75" s="144">
        <f t="shared" si="0"/>
        <v>0.37097391060683016</v>
      </c>
      <c r="N75" s="144">
        <f t="shared" si="0"/>
        <v>0.37097391060683016</v>
      </c>
      <c r="O75" s="144">
        <f t="shared" si="0"/>
        <v>0.37097391060683016</v>
      </c>
      <c r="P75" s="144">
        <f t="shared" si="0"/>
        <v>0.37097391060683016</v>
      </c>
      <c r="Q75" s="144">
        <f t="shared" si="0"/>
        <v>0.37097391060683016</v>
      </c>
      <c r="R75" s="144">
        <f t="shared" si="0"/>
        <v>0.37097391060683016</v>
      </c>
      <c r="S75" s="144">
        <f t="shared" si="0"/>
        <v>0.37097391060683016</v>
      </c>
      <c r="T75" s="144">
        <f t="shared" si="0"/>
        <v>0.37097391060683016</v>
      </c>
      <c r="U75" s="144">
        <f t="shared" si="0"/>
        <v>0.37097391060683016</v>
      </c>
      <c r="V75" s="144">
        <f t="shared" si="0"/>
        <v>0.37097391060683016</v>
      </c>
      <c r="W75" s="144">
        <f t="shared" si="0"/>
        <v>0</v>
      </c>
      <c r="X75" s="144">
        <f t="shared" si="0"/>
        <v>0</v>
      </c>
      <c r="Y75" s="144">
        <f t="shared" si="0"/>
        <v>0</v>
      </c>
      <c r="Z75" s="144">
        <f t="shared" si="0"/>
        <v>0</v>
      </c>
      <c r="AA75" s="144">
        <f t="shared" si="0"/>
        <v>0</v>
      </c>
      <c r="AB75" s="144">
        <f t="shared" si="0"/>
        <v>0</v>
      </c>
      <c r="AC75" s="144">
        <f t="shared" si="0"/>
        <v>0</v>
      </c>
      <c r="AD75" s="144">
        <f t="shared" si="0"/>
        <v>0</v>
      </c>
      <c r="AE75" s="144">
        <f t="shared" si="0"/>
        <v>0</v>
      </c>
      <c r="AF75" s="144">
        <f t="shared" si="0"/>
        <v>0</v>
      </c>
      <c r="AG75" s="144">
        <f t="shared" si="0"/>
        <v>0.37097391060683016</v>
      </c>
      <c r="AH75" s="144">
        <f t="shared" si="0"/>
        <v>0</v>
      </c>
      <c r="AI75" s="144">
        <f t="shared" si="0"/>
        <v>0</v>
      </c>
      <c r="AJ75" s="144">
        <f t="shared" si="0"/>
        <v>0</v>
      </c>
      <c r="AK75" s="144">
        <f t="shared" si="0"/>
        <v>0</v>
      </c>
      <c r="AL75" s="144">
        <f t="shared" si="0"/>
        <v>0</v>
      </c>
      <c r="AM75" s="144">
        <f t="shared" si="0"/>
        <v>0</v>
      </c>
      <c r="AN75" s="144">
        <f t="shared" si="0"/>
        <v>0</v>
      </c>
      <c r="AO75" s="144">
        <f t="shared" si="0"/>
        <v>0</v>
      </c>
    </row>
    <row r="76" spans="4:43" x14ac:dyDescent="0.35">
      <c r="D76"/>
      <c r="E76" s="78"/>
      <c r="F76" t="s">
        <v>157</v>
      </c>
      <c r="G76" t="s">
        <v>167</v>
      </c>
      <c r="H76" s="41"/>
      <c r="J76" s="135">
        <f t="shared" ref="J76:AO76" si="1">INDEX($J58:$Y58,J$54)</f>
        <v>0.37097391060683016</v>
      </c>
      <c r="K76" s="135">
        <f t="shared" si="1"/>
        <v>0.37097391060683016</v>
      </c>
      <c r="L76" s="135">
        <f t="shared" si="1"/>
        <v>0.37097391060683016</v>
      </c>
      <c r="M76" s="135">
        <f t="shared" si="1"/>
        <v>0.37097391060683016</v>
      </c>
      <c r="N76" s="135">
        <f t="shared" si="1"/>
        <v>0.37097391060683016</v>
      </c>
      <c r="O76" s="135">
        <f t="shared" si="1"/>
        <v>0.37097391060683016</v>
      </c>
      <c r="P76" s="135">
        <f t="shared" si="1"/>
        <v>0.37097391060683016</v>
      </c>
      <c r="Q76" s="135">
        <f t="shared" si="1"/>
        <v>0.37097391060683016</v>
      </c>
      <c r="R76" s="135">
        <f t="shared" si="1"/>
        <v>0.37097391060683016</v>
      </c>
      <c r="S76" s="135">
        <f t="shared" si="1"/>
        <v>0.37097391060683016</v>
      </c>
      <c r="T76" s="135">
        <f t="shared" si="1"/>
        <v>0.37097391060683016</v>
      </c>
      <c r="U76" s="135">
        <f t="shared" si="1"/>
        <v>0.37097391060683016</v>
      </c>
      <c r="V76" s="135">
        <f t="shared" si="1"/>
        <v>0.37097391060683016</v>
      </c>
      <c r="W76" s="135">
        <f t="shared" si="1"/>
        <v>0</v>
      </c>
      <c r="X76" s="135">
        <f t="shared" si="1"/>
        <v>0</v>
      </c>
      <c r="Y76" s="135">
        <f t="shared" si="1"/>
        <v>0</v>
      </c>
      <c r="Z76" s="135">
        <f t="shared" si="1"/>
        <v>0</v>
      </c>
      <c r="AA76" s="135">
        <f t="shared" si="1"/>
        <v>0</v>
      </c>
      <c r="AB76" s="135">
        <f t="shared" si="1"/>
        <v>0</v>
      </c>
      <c r="AC76" s="135">
        <f t="shared" si="1"/>
        <v>0</v>
      </c>
      <c r="AD76" s="135">
        <f t="shared" si="1"/>
        <v>0</v>
      </c>
      <c r="AE76" s="135">
        <f t="shared" si="1"/>
        <v>0</v>
      </c>
      <c r="AF76" s="135">
        <f t="shared" si="1"/>
        <v>0</v>
      </c>
      <c r="AG76" s="135">
        <f t="shared" si="1"/>
        <v>0.37097391060683016</v>
      </c>
      <c r="AH76" s="135">
        <f t="shared" si="1"/>
        <v>0</v>
      </c>
      <c r="AI76" s="135">
        <f t="shared" si="1"/>
        <v>0</v>
      </c>
      <c r="AJ76" s="135">
        <f t="shared" si="1"/>
        <v>0</v>
      </c>
      <c r="AK76" s="135">
        <f t="shared" si="1"/>
        <v>0</v>
      </c>
      <c r="AL76" s="135">
        <f t="shared" si="1"/>
        <v>0</v>
      </c>
      <c r="AM76" s="135">
        <f t="shared" si="1"/>
        <v>0</v>
      </c>
      <c r="AN76" s="135">
        <f t="shared" si="1"/>
        <v>0</v>
      </c>
      <c r="AO76" s="135">
        <f t="shared" si="1"/>
        <v>0</v>
      </c>
    </row>
    <row r="77" spans="4:43" x14ac:dyDescent="0.35">
      <c r="D77"/>
      <c r="E77" s="78"/>
      <c r="F77" t="s">
        <v>158</v>
      </c>
      <c r="G77" t="s">
        <v>167</v>
      </c>
      <c r="H77" s="41"/>
      <c r="J77" s="135">
        <f t="shared" ref="J77:AO77" si="2">INDEX($J59:$Y59,J$54)</f>
        <v>0.37097391060683016</v>
      </c>
      <c r="K77" s="135">
        <f t="shared" si="2"/>
        <v>0.37097391060683016</v>
      </c>
      <c r="L77" s="135">
        <f t="shared" si="2"/>
        <v>0.37097391060683016</v>
      </c>
      <c r="M77" s="135">
        <f t="shared" si="2"/>
        <v>0.37097391060683016</v>
      </c>
      <c r="N77" s="135">
        <f t="shared" si="2"/>
        <v>0.37097391060683016</v>
      </c>
      <c r="O77" s="135">
        <f t="shared" si="2"/>
        <v>0.37097391060683016</v>
      </c>
      <c r="P77" s="135">
        <f t="shared" si="2"/>
        <v>0.37097391060683016</v>
      </c>
      <c r="Q77" s="135">
        <f t="shared" si="2"/>
        <v>0.37097391060683016</v>
      </c>
      <c r="R77" s="135">
        <f t="shared" si="2"/>
        <v>0.37097391060683016</v>
      </c>
      <c r="S77" s="135">
        <f t="shared" si="2"/>
        <v>0.37097391060683016</v>
      </c>
      <c r="T77" s="135">
        <f t="shared" si="2"/>
        <v>0.37097391060683016</v>
      </c>
      <c r="U77" s="135">
        <f t="shared" si="2"/>
        <v>0.37097391060683016</v>
      </c>
      <c r="V77" s="135">
        <f t="shared" si="2"/>
        <v>0.37097391060683016</v>
      </c>
      <c r="W77" s="135">
        <f t="shared" si="2"/>
        <v>0</v>
      </c>
      <c r="X77" s="135">
        <f t="shared" si="2"/>
        <v>0</v>
      </c>
      <c r="Y77" s="135">
        <f t="shared" si="2"/>
        <v>0</v>
      </c>
      <c r="Z77" s="135">
        <f t="shared" si="2"/>
        <v>0</v>
      </c>
      <c r="AA77" s="135">
        <f t="shared" si="2"/>
        <v>0</v>
      </c>
      <c r="AB77" s="135">
        <f t="shared" si="2"/>
        <v>0</v>
      </c>
      <c r="AC77" s="135">
        <f t="shared" si="2"/>
        <v>0</v>
      </c>
      <c r="AD77" s="135">
        <f t="shared" si="2"/>
        <v>0</v>
      </c>
      <c r="AE77" s="135">
        <f t="shared" si="2"/>
        <v>0</v>
      </c>
      <c r="AF77" s="135">
        <f t="shared" si="2"/>
        <v>0</v>
      </c>
      <c r="AG77" s="135">
        <f t="shared" si="2"/>
        <v>0.37097391060683016</v>
      </c>
      <c r="AH77" s="135">
        <f t="shared" si="2"/>
        <v>0</v>
      </c>
      <c r="AI77" s="135">
        <f t="shared" si="2"/>
        <v>0</v>
      </c>
      <c r="AJ77" s="135">
        <f t="shared" si="2"/>
        <v>0</v>
      </c>
      <c r="AK77" s="135">
        <f t="shared" si="2"/>
        <v>0</v>
      </c>
      <c r="AL77" s="135">
        <f t="shared" si="2"/>
        <v>0</v>
      </c>
      <c r="AM77" s="135">
        <f t="shared" si="2"/>
        <v>0</v>
      </c>
      <c r="AN77" s="135">
        <f t="shared" si="2"/>
        <v>0</v>
      </c>
      <c r="AO77" s="135">
        <f t="shared" si="2"/>
        <v>0</v>
      </c>
    </row>
    <row r="78" spans="4:43" x14ac:dyDescent="0.35">
      <c r="D78"/>
      <c r="E78" s="78"/>
      <c r="F78" t="s">
        <v>159</v>
      </c>
      <c r="G78" t="s">
        <v>167</v>
      </c>
      <c r="H78" s="41"/>
      <c r="J78" s="135">
        <f t="shared" ref="J78:AO78" si="3">INDEX($J60:$Y60,J$54)</f>
        <v>0.37097391060683016</v>
      </c>
      <c r="K78" s="135">
        <f t="shared" si="3"/>
        <v>0.37097391060683016</v>
      </c>
      <c r="L78" s="135">
        <f t="shared" si="3"/>
        <v>0.37097391060683016</v>
      </c>
      <c r="M78" s="135">
        <f t="shared" si="3"/>
        <v>0.37097391060683016</v>
      </c>
      <c r="N78" s="135">
        <f t="shared" si="3"/>
        <v>0.37097391060683016</v>
      </c>
      <c r="O78" s="135">
        <f t="shared" si="3"/>
        <v>0.37097391060683016</v>
      </c>
      <c r="P78" s="135">
        <f t="shared" si="3"/>
        <v>0.37097391060683016</v>
      </c>
      <c r="Q78" s="135">
        <f t="shared" si="3"/>
        <v>0.37097391060683016</v>
      </c>
      <c r="R78" s="135">
        <f t="shared" si="3"/>
        <v>0.37097391060683016</v>
      </c>
      <c r="S78" s="135">
        <f t="shared" si="3"/>
        <v>0.37097391060683016</v>
      </c>
      <c r="T78" s="135">
        <f t="shared" si="3"/>
        <v>0.37097391060683016</v>
      </c>
      <c r="U78" s="135">
        <f t="shared" si="3"/>
        <v>0.37097391060683016</v>
      </c>
      <c r="V78" s="135">
        <f t="shared" si="3"/>
        <v>0.37097391060683016</v>
      </c>
      <c r="W78" s="135">
        <f t="shared" si="3"/>
        <v>0</v>
      </c>
      <c r="X78" s="135">
        <f t="shared" si="3"/>
        <v>0</v>
      </c>
      <c r="Y78" s="135">
        <f t="shared" si="3"/>
        <v>0</v>
      </c>
      <c r="Z78" s="135">
        <f t="shared" si="3"/>
        <v>0</v>
      </c>
      <c r="AA78" s="135">
        <f t="shared" si="3"/>
        <v>0</v>
      </c>
      <c r="AB78" s="135">
        <f t="shared" si="3"/>
        <v>0</v>
      </c>
      <c r="AC78" s="135">
        <f t="shared" si="3"/>
        <v>0</v>
      </c>
      <c r="AD78" s="135">
        <f t="shared" si="3"/>
        <v>0</v>
      </c>
      <c r="AE78" s="135">
        <f t="shared" si="3"/>
        <v>0</v>
      </c>
      <c r="AF78" s="135">
        <f t="shared" si="3"/>
        <v>0</v>
      </c>
      <c r="AG78" s="135">
        <f t="shared" si="3"/>
        <v>0.37097391060683016</v>
      </c>
      <c r="AH78" s="135">
        <f t="shared" si="3"/>
        <v>1</v>
      </c>
      <c r="AI78" s="135">
        <f t="shared" si="3"/>
        <v>1</v>
      </c>
      <c r="AJ78" s="135">
        <f t="shared" si="3"/>
        <v>1</v>
      </c>
      <c r="AK78" s="135">
        <f t="shared" si="3"/>
        <v>1</v>
      </c>
      <c r="AL78" s="135">
        <f t="shared" si="3"/>
        <v>1</v>
      </c>
      <c r="AM78" s="135">
        <f t="shared" si="3"/>
        <v>1</v>
      </c>
      <c r="AN78" s="135">
        <f t="shared" si="3"/>
        <v>1</v>
      </c>
      <c r="AO78" s="135">
        <f t="shared" si="3"/>
        <v>1</v>
      </c>
    </row>
    <row r="79" spans="4:43" x14ac:dyDescent="0.35">
      <c r="D79"/>
      <c r="E79" s="78"/>
      <c r="F79" t="s">
        <v>160</v>
      </c>
      <c r="G79" t="s">
        <v>167</v>
      </c>
      <c r="H79" s="41"/>
      <c r="J79" s="135">
        <f t="shared" ref="J79:AO79" si="4">INDEX($J61:$Y61,J$54)</f>
        <v>0.37097391060683016</v>
      </c>
      <c r="K79" s="135">
        <f t="shared" si="4"/>
        <v>0.37097391060683016</v>
      </c>
      <c r="L79" s="135">
        <f t="shared" si="4"/>
        <v>0.37097391060683016</v>
      </c>
      <c r="M79" s="135">
        <f t="shared" si="4"/>
        <v>0.37097391060683016</v>
      </c>
      <c r="N79" s="135">
        <f t="shared" si="4"/>
        <v>0.37097391060683016</v>
      </c>
      <c r="O79" s="135">
        <f t="shared" si="4"/>
        <v>0.37097391060683016</v>
      </c>
      <c r="P79" s="135">
        <f t="shared" si="4"/>
        <v>0.37097391060683016</v>
      </c>
      <c r="Q79" s="135">
        <f t="shared" si="4"/>
        <v>0.37097391060683016</v>
      </c>
      <c r="R79" s="135">
        <f t="shared" si="4"/>
        <v>0.37097391060683016</v>
      </c>
      <c r="S79" s="135">
        <f t="shared" si="4"/>
        <v>0.37097391060683016</v>
      </c>
      <c r="T79" s="135">
        <f t="shared" si="4"/>
        <v>0.37097391060683016</v>
      </c>
      <c r="U79" s="135">
        <f t="shared" si="4"/>
        <v>0.37097391060683016</v>
      </c>
      <c r="V79" s="135">
        <f t="shared" si="4"/>
        <v>0.37097391060683016</v>
      </c>
      <c r="W79" s="135">
        <f t="shared" si="4"/>
        <v>0</v>
      </c>
      <c r="X79" s="135">
        <f t="shared" si="4"/>
        <v>0</v>
      </c>
      <c r="Y79" s="135">
        <f t="shared" si="4"/>
        <v>0</v>
      </c>
      <c r="Z79" s="135">
        <f t="shared" si="4"/>
        <v>0</v>
      </c>
      <c r="AA79" s="135">
        <f t="shared" si="4"/>
        <v>0</v>
      </c>
      <c r="AB79" s="135">
        <f t="shared" si="4"/>
        <v>0</v>
      </c>
      <c r="AC79" s="135">
        <f t="shared" si="4"/>
        <v>0</v>
      </c>
      <c r="AD79" s="135">
        <f t="shared" si="4"/>
        <v>0</v>
      </c>
      <c r="AE79" s="135">
        <f t="shared" si="4"/>
        <v>0</v>
      </c>
      <c r="AF79" s="135">
        <f t="shared" si="4"/>
        <v>0</v>
      </c>
      <c r="AG79" s="135">
        <f t="shared" si="4"/>
        <v>0.37097391060683016</v>
      </c>
      <c r="AH79" s="135">
        <f t="shared" si="4"/>
        <v>0</v>
      </c>
      <c r="AI79" s="135">
        <f t="shared" si="4"/>
        <v>0</v>
      </c>
      <c r="AJ79" s="135">
        <f t="shared" si="4"/>
        <v>0</v>
      </c>
      <c r="AK79" s="135">
        <f t="shared" si="4"/>
        <v>0</v>
      </c>
      <c r="AL79" s="135">
        <f t="shared" si="4"/>
        <v>0</v>
      </c>
      <c r="AM79" s="135">
        <f t="shared" si="4"/>
        <v>0</v>
      </c>
      <c r="AN79" s="135">
        <f t="shared" si="4"/>
        <v>0</v>
      </c>
      <c r="AO79" s="135">
        <f t="shared" si="4"/>
        <v>0</v>
      </c>
    </row>
    <row r="80" spans="4:43" x14ac:dyDescent="0.35">
      <c r="D80"/>
      <c r="E80" s="78"/>
      <c r="F80" t="s">
        <v>161</v>
      </c>
      <c r="G80" t="s">
        <v>167</v>
      </c>
      <c r="H80" s="41"/>
      <c r="J80" s="135">
        <f t="shared" ref="J80:AO80" si="5">INDEX($J62:$Y62,J$54)</f>
        <v>0.37097391060683016</v>
      </c>
      <c r="K80" s="135">
        <f t="shared" si="5"/>
        <v>0.37097391060683016</v>
      </c>
      <c r="L80" s="135">
        <f t="shared" si="5"/>
        <v>0.37097391060683016</v>
      </c>
      <c r="M80" s="135">
        <f t="shared" si="5"/>
        <v>0.37097391060683016</v>
      </c>
      <c r="N80" s="135">
        <f t="shared" si="5"/>
        <v>0.37097391060683016</v>
      </c>
      <c r="O80" s="135">
        <f t="shared" si="5"/>
        <v>0.37097391060683016</v>
      </c>
      <c r="P80" s="135">
        <f t="shared" si="5"/>
        <v>0.37097391060683016</v>
      </c>
      <c r="Q80" s="135">
        <f t="shared" si="5"/>
        <v>0.37097391060683016</v>
      </c>
      <c r="R80" s="135">
        <f t="shared" si="5"/>
        <v>0.37097391060683016</v>
      </c>
      <c r="S80" s="135">
        <f t="shared" si="5"/>
        <v>0.37097391060683016</v>
      </c>
      <c r="T80" s="135">
        <f t="shared" si="5"/>
        <v>0.37097391060683016</v>
      </c>
      <c r="U80" s="135">
        <f t="shared" si="5"/>
        <v>0.37097391060683016</v>
      </c>
      <c r="V80" s="135">
        <f t="shared" si="5"/>
        <v>0.37097391060683016</v>
      </c>
      <c r="W80" s="135">
        <f t="shared" si="5"/>
        <v>0</v>
      </c>
      <c r="X80" s="135">
        <f t="shared" si="5"/>
        <v>0</v>
      </c>
      <c r="Y80" s="135">
        <f t="shared" si="5"/>
        <v>0</v>
      </c>
      <c r="Z80" s="135">
        <f t="shared" si="5"/>
        <v>0</v>
      </c>
      <c r="AA80" s="135">
        <f t="shared" si="5"/>
        <v>0</v>
      </c>
      <c r="AB80" s="135">
        <f t="shared" si="5"/>
        <v>0</v>
      </c>
      <c r="AC80" s="135">
        <f t="shared" si="5"/>
        <v>0</v>
      </c>
      <c r="AD80" s="135">
        <f t="shared" si="5"/>
        <v>0</v>
      </c>
      <c r="AE80" s="135">
        <f t="shared" si="5"/>
        <v>0</v>
      </c>
      <c r="AF80" s="135">
        <f t="shared" si="5"/>
        <v>0</v>
      </c>
      <c r="AG80" s="135">
        <f t="shared" si="5"/>
        <v>0.37097391060683016</v>
      </c>
      <c r="AH80" s="135">
        <f t="shared" si="5"/>
        <v>0</v>
      </c>
      <c r="AI80" s="135">
        <f t="shared" si="5"/>
        <v>0</v>
      </c>
      <c r="AJ80" s="135">
        <f t="shared" si="5"/>
        <v>0</v>
      </c>
      <c r="AK80" s="135">
        <f t="shared" si="5"/>
        <v>0</v>
      </c>
      <c r="AL80" s="135">
        <f t="shared" si="5"/>
        <v>0</v>
      </c>
      <c r="AM80" s="135">
        <f t="shared" si="5"/>
        <v>0</v>
      </c>
      <c r="AN80" s="135">
        <f t="shared" si="5"/>
        <v>0</v>
      </c>
      <c r="AO80" s="135">
        <f t="shared" si="5"/>
        <v>0</v>
      </c>
    </row>
    <row r="81" spans="3:43" x14ac:dyDescent="0.35">
      <c r="D81"/>
      <c r="E81" s="78"/>
      <c r="F81" s="28" t="s">
        <v>162</v>
      </c>
      <c r="G81" s="28" t="s">
        <v>167</v>
      </c>
      <c r="H81" s="201"/>
      <c r="I81" s="28"/>
      <c r="J81" s="145">
        <f t="shared" ref="J81:AO81" si="6">INDEX($J63:$Y63,J$54)</f>
        <v>0.37097391060683016</v>
      </c>
      <c r="K81" s="145">
        <f t="shared" si="6"/>
        <v>0.37097391060683016</v>
      </c>
      <c r="L81" s="145">
        <f t="shared" si="6"/>
        <v>0.37097391060683016</v>
      </c>
      <c r="M81" s="145">
        <f t="shared" si="6"/>
        <v>0.37097391060683016</v>
      </c>
      <c r="N81" s="145">
        <f t="shared" si="6"/>
        <v>0.37097391060683016</v>
      </c>
      <c r="O81" s="145">
        <f t="shared" si="6"/>
        <v>0.37097391060683016</v>
      </c>
      <c r="P81" s="145">
        <f t="shared" si="6"/>
        <v>0.37097391060683016</v>
      </c>
      <c r="Q81" s="145">
        <f t="shared" si="6"/>
        <v>0.37097391060683016</v>
      </c>
      <c r="R81" s="145">
        <f t="shared" si="6"/>
        <v>0.37097391060683016</v>
      </c>
      <c r="S81" s="145">
        <f t="shared" si="6"/>
        <v>0.37097391060683016</v>
      </c>
      <c r="T81" s="145">
        <f t="shared" si="6"/>
        <v>0.37097391060683016</v>
      </c>
      <c r="U81" s="145">
        <f t="shared" si="6"/>
        <v>0.37097391060683016</v>
      </c>
      <c r="V81" s="145">
        <f t="shared" si="6"/>
        <v>0.37097391060683016</v>
      </c>
      <c r="W81" s="145">
        <f t="shared" si="6"/>
        <v>0</v>
      </c>
      <c r="X81" s="145">
        <f t="shared" si="6"/>
        <v>0</v>
      </c>
      <c r="Y81" s="145">
        <f t="shared" si="6"/>
        <v>0</v>
      </c>
      <c r="Z81" s="145">
        <f t="shared" si="6"/>
        <v>0</v>
      </c>
      <c r="AA81" s="145">
        <f t="shared" si="6"/>
        <v>0</v>
      </c>
      <c r="AB81" s="145">
        <f t="shared" si="6"/>
        <v>0</v>
      </c>
      <c r="AC81" s="145">
        <f t="shared" si="6"/>
        <v>0</v>
      </c>
      <c r="AD81" s="145">
        <f t="shared" si="6"/>
        <v>0</v>
      </c>
      <c r="AE81" s="145">
        <f t="shared" si="6"/>
        <v>0</v>
      </c>
      <c r="AF81" s="145">
        <f t="shared" si="6"/>
        <v>0</v>
      </c>
      <c r="AG81" s="145">
        <f t="shared" si="6"/>
        <v>0.37097391060683016</v>
      </c>
      <c r="AH81" s="145">
        <f t="shared" si="6"/>
        <v>0</v>
      </c>
      <c r="AI81" s="145">
        <f t="shared" si="6"/>
        <v>0</v>
      </c>
      <c r="AJ81" s="145">
        <f t="shared" si="6"/>
        <v>0</v>
      </c>
      <c r="AK81" s="145">
        <f t="shared" si="6"/>
        <v>0</v>
      </c>
      <c r="AL81" s="145">
        <f t="shared" si="6"/>
        <v>0</v>
      </c>
      <c r="AM81" s="145">
        <f t="shared" si="6"/>
        <v>0</v>
      </c>
      <c r="AN81" s="145">
        <f t="shared" si="6"/>
        <v>0</v>
      </c>
      <c r="AO81" s="145">
        <f t="shared" si="6"/>
        <v>0</v>
      </c>
    </row>
    <row r="82" spans="3:43" x14ac:dyDescent="0.35">
      <c r="D82" s="78"/>
      <c r="E82"/>
    </row>
    <row r="83" spans="3:43" x14ac:dyDescent="0.35">
      <c r="D83"/>
      <c r="E83" s="78" t="s">
        <v>748</v>
      </c>
      <c r="I83" t="s">
        <v>154</v>
      </c>
      <c r="AQ83" t="s">
        <v>427</v>
      </c>
    </row>
    <row r="84" spans="3:43" x14ac:dyDescent="0.35">
      <c r="D84"/>
      <c r="E84" s="78"/>
      <c r="F84" s="19" t="s">
        <v>156</v>
      </c>
      <c r="G84" s="19" t="s">
        <v>167</v>
      </c>
      <c r="H84" s="164"/>
      <c r="I84" s="19"/>
      <c r="J84" s="144">
        <f>INDEX($J66:$Y66,J$54)</f>
        <v>0.54529202281657996</v>
      </c>
      <c r="K84" s="144">
        <f t="shared" ref="K84:AO84" si="7">INDEX($J66:$Y66,K$54)</f>
        <v>0.54529202281657996</v>
      </c>
      <c r="L84" s="144">
        <f t="shared" si="7"/>
        <v>0.54529202281657996</v>
      </c>
      <c r="M84" s="144">
        <f t="shared" si="7"/>
        <v>0.54529202281657996</v>
      </c>
      <c r="N84" s="144">
        <f t="shared" si="7"/>
        <v>0.54529202281657996</v>
      </c>
      <c r="O84" s="144">
        <f t="shared" si="7"/>
        <v>0.54529202281657996</v>
      </c>
      <c r="P84" s="144">
        <f t="shared" si="7"/>
        <v>0.54529202281657996</v>
      </c>
      <c r="Q84" s="144">
        <f t="shared" si="7"/>
        <v>0.54529202281657996</v>
      </c>
      <c r="R84" s="144">
        <f t="shared" si="7"/>
        <v>0.54529202281657996</v>
      </c>
      <c r="S84" s="144">
        <f t="shared" si="7"/>
        <v>0.54529202281657996</v>
      </c>
      <c r="T84" s="144">
        <f t="shared" si="7"/>
        <v>0.54529202281657996</v>
      </c>
      <c r="U84" s="144">
        <f t="shared" si="7"/>
        <v>0.54529202281657996</v>
      </c>
      <c r="V84" s="144">
        <f t="shared" si="7"/>
        <v>0.54529202281657996</v>
      </c>
      <c r="W84" s="144">
        <f t="shared" si="7"/>
        <v>0.25951924258539139</v>
      </c>
      <c r="X84" s="144">
        <f t="shared" si="7"/>
        <v>0.25951924258539139</v>
      </c>
      <c r="Y84" s="144">
        <f t="shared" si="7"/>
        <v>0.25951924258539139</v>
      </c>
      <c r="Z84" s="144">
        <f t="shared" si="7"/>
        <v>0.25951924258539139</v>
      </c>
      <c r="AA84" s="144">
        <f t="shared" si="7"/>
        <v>0.25951924258539139</v>
      </c>
      <c r="AB84" s="144">
        <f t="shared" si="7"/>
        <v>0.15142745426120777</v>
      </c>
      <c r="AC84" s="144">
        <f t="shared" si="7"/>
        <v>0.15142745426120777</v>
      </c>
      <c r="AD84" s="144">
        <f t="shared" si="7"/>
        <v>0.15142745426120777</v>
      </c>
      <c r="AE84" s="144">
        <f t="shared" si="7"/>
        <v>0.15142745426120777</v>
      </c>
      <c r="AF84" s="144">
        <f t="shared" si="7"/>
        <v>0.15142745426120777</v>
      </c>
      <c r="AG84" s="144">
        <f t="shared" si="7"/>
        <v>0.54529202281657996</v>
      </c>
      <c r="AH84" s="144">
        <f t="shared" si="7"/>
        <v>0</v>
      </c>
      <c r="AI84" s="144">
        <f t="shared" si="7"/>
        <v>0</v>
      </c>
      <c r="AJ84" s="144">
        <f t="shared" si="7"/>
        <v>0</v>
      </c>
      <c r="AK84" s="144">
        <f t="shared" si="7"/>
        <v>0</v>
      </c>
      <c r="AL84" s="144">
        <f t="shared" si="7"/>
        <v>0</v>
      </c>
      <c r="AM84" s="144">
        <f t="shared" si="7"/>
        <v>0</v>
      </c>
      <c r="AN84" s="144">
        <f t="shared" si="7"/>
        <v>0</v>
      </c>
      <c r="AO84" s="144">
        <f t="shared" si="7"/>
        <v>0</v>
      </c>
    </row>
    <row r="85" spans="3:43" x14ac:dyDescent="0.35">
      <c r="D85"/>
      <c r="E85" s="78"/>
      <c r="F85" t="s">
        <v>157</v>
      </c>
      <c r="G85" t="s">
        <v>167</v>
      </c>
      <c r="H85" s="41"/>
      <c r="J85" s="135">
        <f t="shared" ref="J85:AO85" si="8">INDEX($J67:$Y67,J$54)</f>
        <v>0.54529202281657996</v>
      </c>
      <c r="K85" s="135">
        <f t="shared" si="8"/>
        <v>0.54529202281657996</v>
      </c>
      <c r="L85" s="135">
        <f t="shared" si="8"/>
        <v>0.54529202281657996</v>
      </c>
      <c r="M85" s="135">
        <f t="shared" si="8"/>
        <v>0.54529202281657996</v>
      </c>
      <c r="N85" s="135">
        <f t="shared" si="8"/>
        <v>0.54529202281657996</v>
      </c>
      <c r="O85" s="135">
        <f t="shared" si="8"/>
        <v>0.54529202281657996</v>
      </c>
      <c r="P85" s="135">
        <f t="shared" si="8"/>
        <v>0.54529202281657996</v>
      </c>
      <c r="Q85" s="135">
        <f t="shared" si="8"/>
        <v>0.54529202281657996</v>
      </c>
      <c r="R85" s="135">
        <f t="shared" si="8"/>
        <v>0.54529202281657996</v>
      </c>
      <c r="S85" s="135">
        <f t="shared" si="8"/>
        <v>0.54529202281657996</v>
      </c>
      <c r="T85" s="135">
        <f t="shared" si="8"/>
        <v>0.54529202281657996</v>
      </c>
      <c r="U85" s="135">
        <f t="shared" si="8"/>
        <v>0.54529202281657996</v>
      </c>
      <c r="V85" s="135">
        <f t="shared" si="8"/>
        <v>0.54529202281657996</v>
      </c>
      <c r="W85" s="135">
        <f t="shared" si="8"/>
        <v>0.25951924258539139</v>
      </c>
      <c r="X85" s="135">
        <f t="shared" si="8"/>
        <v>0.25951924258539139</v>
      </c>
      <c r="Y85" s="135">
        <f t="shared" si="8"/>
        <v>0.25951924258539139</v>
      </c>
      <c r="Z85" s="135">
        <f t="shared" si="8"/>
        <v>0.25951924258539139</v>
      </c>
      <c r="AA85" s="135">
        <f t="shared" si="8"/>
        <v>0.25951924258539139</v>
      </c>
      <c r="AB85" s="135">
        <f t="shared" si="8"/>
        <v>0.15142745426120777</v>
      </c>
      <c r="AC85" s="135">
        <f t="shared" si="8"/>
        <v>0.15142745426120777</v>
      </c>
      <c r="AD85" s="135">
        <f t="shared" si="8"/>
        <v>0.15142745426120777</v>
      </c>
      <c r="AE85" s="135">
        <f t="shared" si="8"/>
        <v>0.15142745426120777</v>
      </c>
      <c r="AF85" s="135">
        <f t="shared" si="8"/>
        <v>0.15142745426120777</v>
      </c>
      <c r="AG85" s="135">
        <f t="shared" si="8"/>
        <v>0.54529202281657996</v>
      </c>
      <c r="AH85" s="135">
        <f t="shared" si="8"/>
        <v>0</v>
      </c>
      <c r="AI85" s="135">
        <f t="shared" si="8"/>
        <v>0</v>
      </c>
      <c r="AJ85" s="135">
        <f t="shared" si="8"/>
        <v>0</v>
      </c>
      <c r="AK85" s="135">
        <f t="shared" si="8"/>
        <v>0</v>
      </c>
      <c r="AL85" s="135">
        <f t="shared" si="8"/>
        <v>0</v>
      </c>
      <c r="AM85" s="135">
        <f t="shared" si="8"/>
        <v>0</v>
      </c>
      <c r="AN85" s="135">
        <f t="shared" si="8"/>
        <v>0</v>
      </c>
      <c r="AO85" s="135">
        <f t="shared" si="8"/>
        <v>0</v>
      </c>
    </row>
    <row r="86" spans="3:43" x14ac:dyDescent="0.35">
      <c r="D86"/>
      <c r="E86" s="78"/>
      <c r="F86" t="s">
        <v>158</v>
      </c>
      <c r="G86" t="s">
        <v>167</v>
      </c>
      <c r="H86" s="41"/>
      <c r="J86" s="135">
        <f t="shared" ref="J86:AO86" si="9">INDEX($J68:$Y68,J$54)</f>
        <v>0.54529202281657996</v>
      </c>
      <c r="K86" s="135">
        <f t="shared" si="9"/>
        <v>0.54529202281657996</v>
      </c>
      <c r="L86" s="135">
        <f t="shared" si="9"/>
        <v>0.54529202281657996</v>
      </c>
      <c r="M86" s="135">
        <f t="shared" si="9"/>
        <v>0.54529202281657996</v>
      </c>
      <c r="N86" s="135">
        <f t="shared" si="9"/>
        <v>0.54529202281657996</v>
      </c>
      <c r="O86" s="135">
        <f t="shared" si="9"/>
        <v>0.54529202281657996</v>
      </c>
      <c r="P86" s="135">
        <f t="shared" si="9"/>
        <v>0.54529202281657996</v>
      </c>
      <c r="Q86" s="135">
        <f t="shared" si="9"/>
        <v>0.54529202281657996</v>
      </c>
      <c r="R86" s="135">
        <f t="shared" si="9"/>
        <v>0.54529202281657996</v>
      </c>
      <c r="S86" s="135">
        <f t="shared" si="9"/>
        <v>0.54529202281657996</v>
      </c>
      <c r="T86" s="135">
        <f t="shared" si="9"/>
        <v>0.54529202281657996</v>
      </c>
      <c r="U86" s="135">
        <f t="shared" si="9"/>
        <v>0.54529202281657996</v>
      </c>
      <c r="V86" s="135">
        <f t="shared" si="9"/>
        <v>0.54529202281657996</v>
      </c>
      <c r="W86" s="135">
        <f t="shared" si="9"/>
        <v>0.25951924258539139</v>
      </c>
      <c r="X86" s="135">
        <f t="shared" si="9"/>
        <v>0.25951924258539139</v>
      </c>
      <c r="Y86" s="135">
        <f t="shared" si="9"/>
        <v>0.25951924258539139</v>
      </c>
      <c r="Z86" s="135">
        <f t="shared" si="9"/>
        <v>0.25951924258539139</v>
      </c>
      <c r="AA86" s="135">
        <f t="shared" si="9"/>
        <v>0.25951924258539139</v>
      </c>
      <c r="AB86" s="135">
        <f t="shared" si="9"/>
        <v>0.15142745426120777</v>
      </c>
      <c r="AC86" s="135">
        <f t="shared" si="9"/>
        <v>0.15142745426120777</v>
      </c>
      <c r="AD86" s="135">
        <f t="shared" si="9"/>
        <v>0.15142745426120777</v>
      </c>
      <c r="AE86" s="135">
        <f t="shared" si="9"/>
        <v>0.15142745426120777</v>
      </c>
      <c r="AF86" s="135">
        <f t="shared" si="9"/>
        <v>0.15142745426120777</v>
      </c>
      <c r="AG86" s="135">
        <f t="shared" si="9"/>
        <v>0.54529202281657996</v>
      </c>
      <c r="AH86" s="135">
        <f t="shared" si="9"/>
        <v>0</v>
      </c>
      <c r="AI86" s="135">
        <f t="shared" si="9"/>
        <v>0</v>
      </c>
      <c r="AJ86" s="135">
        <f t="shared" si="9"/>
        <v>0</v>
      </c>
      <c r="AK86" s="135">
        <f t="shared" si="9"/>
        <v>0</v>
      </c>
      <c r="AL86" s="135">
        <f t="shared" si="9"/>
        <v>0</v>
      </c>
      <c r="AM86" s="135">
        <f t="shared" si="9"/>
        <v>0</v>
      </c>
      <c r="AN86" s="135">
        <f t="shared" si="9"/>
        <v>0</v>
      </c>
      <c r="AO86" s="135">
        <f t="shared" si="9"/>
        <v>0</v>
      </c>
    </row>
    <row r="87" spans="3:43" x14ac:dyDescent="0.35">
      <c r="D87"/>
      <c r="E87" s="78"/>
      <c r="F87" t="s">
        <v>159</v>
      </c>
      <c r="G87" t="s">
        <v>167</v>
      </c>
      <c r="H87" s="41"/>
      <c r="J87" s="135">
        <f t="shared" ref="J87:AO87" si="10">INDEX($J69:$Y69,J$54)</f>
        <v>0.54529202281657996</v>
      </c>
      <c r="K87" s="135">
        <f t="shared" si="10"/>
        <v>0.54529202281657996</v>
      </c>
      <c r="L87" s="135">
        <f t="shared" si="10"/>
        <v>0.54529202281657996</v>
      </c>
      <c r="M87" s="135">
        <f t="shared" si="10"/>
        <v>0.54529202281657996</v>
      </c>
      <c r="N87" s="135">
        <f t="shared" si="10"/>
        <v>0.54529202281657996</v>
      </c>
      <c r="O87" s="135">
        <f t="shared" si="10"/>
        <v>0.54529202281657996</v>
      </c>
      <c r="P87" s="135">
        <f t="shared" si="10"/>
        <v>0.54529202281657996</v>
      </c>
      <c r="Q87" s="135">
        <f t="shared" si="10"/>
        <v>0.54529202281657996</v>
      </c>
      <c r="R87" s="135">
        <f t="shared" si="10"/>
        <v>0.54529202281657996</v>
      </c>
      <c r="S87" s="135">
        <f t="shared" si="10"/>
        <v>0.54529202281657996</v>
      </c>
      <c r="T87" s="135">
        <f t="shared" si="10"/>
        <v>0.54529202281657996</v>
      </c>
      <c r="U87" s="135">
        <f t="shared" si="10"/>
        <v>0.54529202281657996</v>
      </c>
      <c r="V87" s="135">
        <f t="shared" si="10"/>
        <v>0.54529202281657996</v>
      </c>
      <c r="W87" s="135">
        <f t="shared" si="10"/>
        <v>0.25951924258539139</v>
      </c>
      <c r="X87" s="135">
        <f t="shared" si="10"/>
        <v>0.25951924258539139</v>
      </c>
      <c r="Y87" s="135">
        <f t="shared" si="10"/>
        <v>0.25951924258539139</v>
      </c>
      <c r="Z87" s="135">
        <f t="shared" si="10"/>
        <v>0.25951924258539139</v>
      </c>
      <c r="AA87" s="135">
        <f t="shared" si="10"/>
        <v>0.25951924258539139</v>
      </c>
      <c r="AB87" s="135">
        <f t="shared" si="10"/>
        <v>0.15142745426120777</v>
      </c>
      <c r="AC87" s="135">
        <f t="shared" si="10"/>
        <v>0.15142745426120777</v>
      </c>
      <c r="AD87" s="135">
        <f t="shared" si="10"/>
        <v>0.15142745426120777</v>
      </c>
      <c r="AE87" s="135">
        <f t="shared" si="10"/>
        <v>0.15142745426120777</v>
      </c>
      <c r="AF87" s="135">
        <f t="shared" si="10"/>
        <v>0.15142745426120777</v>
      </c>
      <c r="AG87" s="135">
        <f t="shared" si="10"/>
        <v>0.54529202281657996</v>
      </c>
      <c r="AH87" s="135">
        <f t="shared" si="10"/>
        <v>1</v>
      </c>
      <c r="AI87" s="135">
        <f t="shared" si="10"/>
        <v>1</v>
      </c>
      <c r="AJ87" s="135">
        <f t="shared" si="10"/>
        <v>1</v>
      </c>
      <c r="AK87" s="135">
        <f t="shared" si="10"/>
        <v>1</v>
      </c>
      <c r="AL87" s="135">
        <f t="shared" si="10"/>
        <v>1</v>
      </c>
      <c r="AM87" s="135">
        <f t="shared" si="10"/>
        <v>1</v>
      </c>
      <c r="AN87" s="135">
        <f t="shared" si="10"/>
        <v>1</v>
      </c>
      <c r="AO87" s="135">
        <f t="shared" si="10"/>
        <v>1</v>
      </c>
    </row>
    <row r="88" spans="3:43" x14ac:dyDescent="0.35">
      <c r="D88"/>
      <c r="E88" s="78"/>
      <c r="F88" t="s">
        <v>160</v>
      </c>
      <c r="G88" t="s">
        <v>167</v>
      </c>
      <c r="H88" s="41"/>
      <c r="J88" s="135">
        <f t="shared" ref="J88:AO88" si="11">INDEX($J70:$Y70,J$54)</f>
        <v>0.54529202281657996</v>
      </c>
      <c r="K88" s="135">
        <f t="shared" si="11"/>
        <v>0.54529202281657996</v>
      </c>
      <c r="L88" s="135">
        <f t="shared" si="11"/>
        <v>0.54529202281657996</v>
      </c>
      <c r="M88" s="135">
        <f t="shared" si="11"/>
        <v>0.54529202281657996</v>
      </c>
      <c r="N88" s="135">
        <f t="shared" si="11"/>
        <v>0.54529202281657996</v>
      </c>
      <c r="O88" s="135">
        <f t="shared" si="11"/>
        <v>0.54529202281657996</v>
      </c>
      <c r="P88" s="135">
        <f t="shared" si="11"/>
        <v>0.54529202281657996</v>
      </c>
      <c r="Q88" s="135">
        <f t="shared" si="11"/>
        <v>0.54529202281657996</v>
      </c>
      <c r="R88" s="135">
        <f t="shared" si="11"/>
        <v>0.54529202281657996</v>
      </c>
      <c r="S88" s="135">
        <f t="shared" si="11"/>
        <v>0.54529202281657996</v>
      </c>
      <c r="T88" s="135">
        <f t="shared" si="11"/>
        <v>0.54529202281657996</v>
      </c>
      <c r="U88" s="135">
        <f t="shared" si="11"/>
        <v>0.54529202281657996</v>
      </c>
      <c r="V88" s="135">
        <f t="shared" si="11"/>
        <v>0.54529202281657996</v>
      </c>
      <c r="W88" s="135">
        <f t="shared" si="11"/>
        <v>0.25951924258539139</v>
      </c>
      <c r="X88" s="135">
        <f t="shared" si="11"/>
        <v>0.25951924258539139</v>
      </c>
      <c r="Y88" s="135">
        <f t="shared" si="11"/>
        <v>0.25951924258539139</v>
      </c>
      <c r="Z88" s="135">
        <f t="shared" si="11"/>
        <v>0.25951924258539139</v>
      </c>
      <c r="AA88" s="135">
        <f t="shared" si="11"/>
        <v>0.25951924258539139</v>
      </c>
      <c r="AB88" s="135">
        <f t="shared" si="11"/>
        <v>0.15142745426120777</v>
      </c>
      <c r="AC88" s="135">
        <f t="shared" si="11"/>
        <v>0.15142745426120777</v>
      </c>
      <c r="AD88" s="135">
        <f t="shared" si="11"/>
        <v>0.15142745426120777</v>
      </c>
      <c r="AE88" s="135">
        <f t="shared" si="11"/>
        <v>0.15142745426120777</v>
      </c>
      <c r="AF88" s="135">
        <f t="shared" si="11"/>
        <v>0.15142745426120777</v>
      </c>
      <c r="AG88" s="135">
        <f t="shared" si="11"/>
        <v>0.54529202281657996</v>
      </c>
      <c r="AH88" s="135">
        <f t="shared" si="11"/>
        <v>0</v>
      </c>
      <c r="AI88" s="135">
        <f t="shared" si="11"/>
        <v>0</v>
      </c>
      <c r="AJ88" s="135">
        <f t="shared" si="11"/>
        <v>0</v>
      </c>
      <c r="AK88" s="135">
        <f t="shared" si="11"/>
        <v>0</v>
      </c>
      <c r="AL88" s="135">
        <f t="shared" si="11"/>
        <v>0</v>
      </c>
      <c r="AM88" s="135">
        <f t="shared" si="11"/>
        <v>0</v>
      </c>
      <c r="AN88" s="135">
        <f t="shared" si="11"/>
        <v>0</v>
      </c>
      <c r="AO88" s="135">
        <f t="shared" si="11"/>
        <v>0</v>
      </c>
    </row>
    <row r="89" spans="3:43" x14ac:dyDescent="0.35">
      <c r="D89"/>
      <c r="E89" s="78"/>
      <c r="F89" t="s">
        <v>161</v>
      </c>
      <c r="G89" t="s">
        <v>167</v>
      </c>
      <c r="H89" s="41"/>
      <c r="J89" s="135">
        <f t="shared" ref="J89:AO89" si="12">INDEX($J71:$Y71,J$54)</f>
        <v>0.54529202281657996</v>
      </c>
      <c r="K89" s="135">
        <f t="shared" si="12"/>
        <v>0.54529202281657996</v>
      </c>
      <c r="L89" s="135">
        <f t="shared" si="12"/>
        <v>0.54529202281657996</v>
      </c>
      <c r="M89" s="135">
        <f t="shared" si="12"/>
        <v>0.54529202281657996</v>
      </c>
      <c r="N89" s="135">
        <f t="shared" si="12"/>
        <v>0.54529202281657996</v>
      </c>
      <c r="O89" s="135">
        <f t="shared" si="12"/>
        <v>0.54529202281657996</v>
      </c>
      <c r="P89" s="135">
        <f t="shared" si="12"/>
        <v>0.54529202281657996</v>
      </c>
      <c r="Q89" s="135">
        <f t="shared" si="12"/>
        <v>0.54529202281657996</v>
      </c>
      <c r="R89" s="135">
        <f t="shared" si="12"/>
        <v>0.54529202281657996</v>
      </c>
      <c r="S89" s="135">
        <f t="shared" si="12"/>
        <v>0.54529202281657996</v>
      </c>
      <c r="T89" s="135">
        <f t="shared" si="12"/>
        <v>0.54529202281657996</v>
      </c>
      <c r="U89" s="135">
        <f t="shared" si="12"/>
        <v>0.54529202281657996</v>
      </c>
      <c r="V89" s="135">
        <f t="shared" si="12"/>
        <v>0.54529202281657996</v>
      </c>
      <c r="W89" s="135">
        <f t="shared" si="12"/>
        <v>0.25951924258539139</v>
      </c>
      <c r="X89" s="135">
        <f t="shared" si="12"/>
        <v>0.25951924258539139</v>
      </c>
      <c r="Y89" s="135">
        <f t="shared" si="12"/>
        <v>0.25951924258539139</v>
      </c>
      <c r="Z89" s="135">
        <f t="shared" si="12"/>
        <v>0.25951924258539139</v>
      </c>
      <c r="AA89" s="135">
        <f t="shared" si="12"/>
        <v>0.25951924258539139</v>
      </c>
      <c r="AB89" s="135">
        <f t="shared" si="12"/>
        <v>0.15142745426120777</v>
      </c>
      <c r="AC89" s="135">
        <f t="shared" si="12"/>
        <v>0.15142745426120777</v>
      </c>
      <c r="AD89" s="135">
        <f t="shared" si="12"/>
        <v>0.15142745426120777</v>
      </c>
      <c r="AE89" s="135">
        <f t="shared" si="12"/>
        <v>0.15142745426120777</v>
      </c>
      <c r="AF89" s="135">
        <f t="shared" si="12"/>
        <v>0.15142745426120777</v>
      </c>
      <c r="AG89" s="135">
        <f t="shared" si="12"/>
        <v>0.54529202281657996</v>
      </c>
      <c r="AH89" s="135">
        <f t="shared" si="12"/>
        <v>0</v>
      </c>
      <c r="AI89" s="135">
        <f t="shared" si="12"/>
        <v>0</v>
      </c>
      <c r="AJ89" s="135">
        <f t="shared" si="12"/>
        <v>0</v>
      </c>
      <c r="AK89" s="135">
        <f t="shared" si="12"/>
        <v>0</v>
      </c>
      <c r="AL89" s="135">
        <f t="shared" si="12"/>
        <v>0</v>
      </c>
      <c r="AM89" s="135">
        <f t="shared" si="12"/>
        <v>0</v>
      </c>
      <c r="AN89" s="135">
        <f t="shared" si="12"/>
        <v>0</v>
      </c>
      <c r="AO89" s="135">
        <f t="shared" si="12"/>
        <v>0</v>
      </c>
    </row>
    <row r="90" spans="3:43" x14ac:dyDescent="0.35">
      <c r="D90"/>
      <c r="E90" s="78"/>
      <c r="F90" s="28" t="s">
        <v>162</v>
      </c>
      <c r="G90" s="28" t="s">
        <v>167</v>
      </c>
      <c r="H90" s="201"/>
      <c r="I90" s="28"/>
      <c r="J90" s="145">
        <f t="shared" ref="J90:AO90" si="13">INDEX($J72:$Y72,J$54)</f>
        <v>0.54529202281657996</v>
      </c>
      <c r="K90" s="145">
        <f t="shared" si="13"/>
        <v>0.54529202281657996</v>
      </c>
      <c r="L90" s="145">
        <f t="shared" si="13"/>
        <v>0.54529202281657996</v>
      </c>
      <c r="M90" s="145">
        <f t="shared" si="13"/>
        <v>0.54529202281657996</v>
      </c>
      <c r="N90" s="145">
        <f t="shared" si="13"/>
        <v>0.54529202281657996</v>
      </c>
      <c r="O90" s="145">
        <f t="shared" si="13"/>
        <v>0.54529202281657996</v>
      </c>
      <c r="P90" s="145">
        <f t="shared" si="13"/>
        <v>0.54529202281657996</v>
      </c>
      <c r="Q90" s="145">
        <f t="shared" si="13"/>
        <v>0.54529202281657996</v>
      </c>
      <c r="R90" s="145">
        <f t="shared" si="13"/>
        <v>0.54529202281657996</v>
      </c>
      <c r="S90" s="145">
        <f t="shared" si="13"/>
        <v>0.54529202281657996</v>
      </c>
      <c r="T90" s="145">
        <f t="shared" si="13"/>
        <v>0.54529202281657996</v>
      </c>
      <c r="U90" s="145">
        <f t="shared" si="13"/>
        <v>0.54529202281657996</v>
      </c>
      <c r="V90" s="145">
        <f t="shared" si="13"/>
        <v>0.54529202281657996</v>
      </c>
      <c r="W90" s="145">
        <f t="shared" si="13"/>
        <v>0.25951924258539139</v>
      </c>
      <c r="X90" s="145">
        <f t="shared" si="13"/>
        <v>0.25951924258539139</v>
      </c>
      <c r="Y90" s="145">
        <f t="shared" si="13"/>
        <v>0.25951924258539139</v>
      </c>
      <c r="Z90" s="145">
        <f t="shared" si="13"/>
        <v>0.25951924258539139</v>
      </c>
      <c r="AA90" s="145">
        <f t="shared" si="13"/>
        <v>0.25951924258539139</v>
      </c>
      <c r="AB90" s="145">
        <f t="shared" si="13"/>
        <v>0.15142745426120777</v>
      </c>
      <c r="AC90" s="145">
        <f t="shared" si="13"/>
        <v>0.15142745426120777</v>
      </c>
      <c r="AD90" s="145">
        <f t="shared" si="13"/>
        <v>0.15142745426120777</v>
      </c>
      <c r="AE90" s="145">
        <f t="shared" si="13"/>
        <v>0.15142745426120777</v>
      </c>
      <c r="AF90" s="145">
        <f t="shared" si="13"/>
        <v>0.15142745426120777</v>
      </c>
      <c r="AG90" s="145">
        <f t="shared" si="13"/>
        <v>0.54529202281657996</v>
      </c>
      <c r="AH90" s="145">
        <f t="shared" si="13"/>
        <v>0</v>
      </c>
      <c r="AI90" s="145">
        <f t="shared" si="13"/>
        <v>0</v>
      </c>
      <c r="AJ90" s="145">
        <f t="shared" si="13"/>
        <v>0</v>
      </c>
      <c r="AK90" s="145">
        <f t="shared" si="13"/>
        <v>0</v>
      </c>
      <c r="AL90" s="145">
        <f t="shared" si="13"/>
        <v>0</v>
      </c>
      <c r="AM90" s="145">
        <f t="shared" si="13"/>
        <v>0</v>
      </c>
      <c r="AN90" s="145">
        <f t="shared" si="13"/>
        <v>0</v>
      </c>
      <c r="AO90" s="145">
        <f t="shared" si="13"/>
        <v>0</v>
      </c>
    </row>
    <row r="91" spans="3:43" x14ac:dyDescent="0.35">
      <c r="D91" s="78"/>
      <c r="E91"/>
    </row>
    <row r="92" spans="3:43" x14ac:dyDescent="0.35">
      <c r="C92" s="26" t="str">
        <f ca="1">INDEX('Version control'!$H$38:$H$61,MATCH($A$1,'Version control'!$F$38:$F$61,0),1)&amp;"-E: Decimal places for rounding"</f>
        <v>Section 117-E: Decimal places for rounding</v>
      </c>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row>
    <row r="94" spans="3:43" x14ac:dyDescent="0.35">
      <c r="E94" s="27" t="s">
        <v>749</v>
      </c>
      <c r="I94" t="s">
        <v>154</v>
      </c>
      <c r="AQ94" t="s">
        <v>155</v>
      </c>
    </row>
    <row r="95" spans="3:43" x14ac:dyDescent="0.35">
      <c r="C95" s="78"/>
      <c r="F95" s="19" t="s">
        <v>156</v>
      </c>
      <c r="G95" s="19" t="s">
        <v>149</v>
      </c>
      <c r="H95" s="164">
        <f>'Fixed inputs'!H25</f>
        <v>3</v>
      </c>
    </row>
    <row r="96" spans="3:43" x14ac:dyDescent="0.35">
      <c r="C96" s="78"/>
      <c r="F96" t="s">
        <v>157</v>
      </c>
      <c r="G96" t="s">
        <v>149</v>
      </c>
      <c r="H96" s="41">
        <f>'Fixed inputs'!H26</f>
        <v>3</v>
      </c>
    </row>
    <row r="97" spans="2:43" x14ac:dyDescent="0.35">
      <c r="C97" s="78"/>
      <c r="F97" t="s">
        <v>158</v>
      </c>
      <c r="G97" t="s">
        <v>149</v>
      </c>
      <c r="H97" s="41">
        <f>'Fixed inputs'!H27</f>
        <v>3</v>
      </c>
    </row>
    <row r="98" spans="2:43" x14ac:dyDescent="0.35">
      <c r="C98" s="78"/>
      <c r="F98" t="s">
        <v>159</v>
      </c>
      <c r="G98" t="s">
        <v>149</v>
      </c>
      <c r="H98" s="41">
        <f>'Fixed inputs'!H28</f>
        <v>2</v>
      </c>
    </row>
    <row r="99" spans="2:43" x14ac:dyDescent="0.35">
      <c r="C99" s="78"/>
      <c r="F99" t="s">
        <v>160</v>
      </c>
      <c r="G99" t="s">
        <v>149</v>
      </c>
      <c r="H99" s="41">
        <f>'Fixed inputs'!H29</f>
        <v>2</v>
      </c>
    </row>
    <row r="100" spans="2:43" x14ac:dyDescent="0.35">
      <c r="C100" s="78"/>
      <c r="F100" t="s">
        <v>161</v>
      </c>
      <c r="G100" t="s">
        <v>149</v>
      </c>
      <c r="H100" s="41">
        <f>'Fixed inputs'!H30</f>
        <v>2</v>
      </c>
    </row>
    <row r="101" spans="2:43" x14ac:dyDescent="0.35">
      <c r="C101" s="78"/>
      <c r="F101" s="28" t="s">
        <v>162</v>
      </c>
      <c r="G101" s="28" t="s">
        <v>149</v>
      </c>
      <c r="H101" s="201">
        <f>'Fixed inputs'!H31</f>
        <v>3</v>
      </c>
    </row>
    <row r="102" spans="2:43" x14ac:dyDescent="0.35">
      <c r="C102" s="78"/>
    </row>
    <row r="103" spans="2:43" x14ac:dyDescent="0.35">
      <c r="B103" s="25" t="s">
        <v>750</v>
      </c>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row>
    <row r="105" spans="2:43" x14ac:dyDescent="0.35">
      <c r="C105" s="24" t="s">
        <v>751</v>
      </c>
    </row>
    <row r="107" spans="2:43" x14ac:dyDescent="0.35">
      <c r="C107" s="26" t="str">
        <f ca="1">INDEX('Version control'!$H$38:$H$61,MATCH($A$1,'Version control'!$F$38:$F$61,0),1)&amp;"-F: Tariff forecast, post-revenue matching"</f>
        <v>Section 117-F: Tariff forecast, post-revenue matching</v>
      </c>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row>
    <row r="109" spans="2:43" x14ac:dyDescent="0.35">
      <c r="D109"/>
      <c r="E109" s="27" t="s">
        <v>752</v>
      </c>
      <c r="F109" s="27"/>
    </row>
    <row r="110" spans="2:43" x14ac:dyDescent="0.35">
      <c r="D110"/>
      <c r="E110" s="78"/>
      <c r="F110" s="19" t="s">
        <v>156</v>
      </c>
      <c r="G110" s="19" t="s">
        <v>269</v>
      </c>
      <c r="H110" s="267"/>
      <c r="I110" s="255"/>
      <c r="J110" s="270">
        <f xml:space="preserve"> J20 + J32</f>
        <v>9.3171116944398857</v>
      </c>
      <c r="K110" s="270">
        <f t="shared" ref="K110:AO110" si="14" xml:space="preserve"> K20 + K32</f>
        <v>9.3171116944398857</v>
      </c>
      <c r="L110" s="270">
        <f t="shared" si="14"/>
        <v>8.7153701226779656</v>
      </c>
      <c r="M110" s="270">
        <f t="shared" si="14"/>
        <v>8.7153701226779656</v>
      </c>
      <c r="N110" s="270">
        <f t="shared" si="14"/>
        <v>8.7153701226779656</v>
      </c>
      <c r="O110" s="270">
        <f t="shared" si="14"/>
        <v>8.7153701226779656</v>
      </c>
      <c r="P110" s="270">
        <f t="shared" si="14"/>
        <v>8.7153701226779656</v>
      </c>
      <c r="Q110" s="270">
        <f t="shared" si="14"/>
        <v>8.7153701226779656</v>
      </c>
      <c r="R110" s="270">
        <f t="shared" si="14"/>
        <v>6.8094647784894793</v>
      </c>
      <c r="S110" s="270">
        <f t="shared" si="14"/>
        <v>6.8094647784894793</v>
      </c>
      <c r="T110" s="270">
        <f t="shared" si="14"/>
        <v>6.8094647784894793</v>
      </c>
      <c r="U110" s="270">
        <f t="shared" si="14"/>
        <v>6.8094647784894793</v>
      </c>
      <c r="V110" s="270">
        <f t="shared" si="14"/>
        <v>6.8094647784894793</v>
      </c>
      <c r="W110" s="270">
        <f t="shared" si="14"/>
        <v>4.5451823626979291</v>
      </c>
      <c r="X110" s="270">
        <f t="shared" si="14"/>
        <v>4.5451823626979291</v>
      </c>
      <c r="Y110" s="270">
        <f t="shared" si="14"/>
        <v>4.5451823626979291</v>
      </c>
      <c r="Z110" s="270">
        <f t="shared" si="14"/>
        <v>4.5451823626979291</v>
      </c>
      <c r="AA110" s="270">
        <f t="shared" si="14"/>
        <v>4.5451823626979291</v>
      </c>
      <c r="AB110" s="270">
        <f t="shared" si="14"/>
        <v>3.6111056246732378</v>
      </c>
      <c r="AC110" s="270">
        <f t="shared" si="14"/>
        <v>3.6111056246732378</v>
      </c>
      <c r="AD110" s="270">
        <f t="shared" si="14"/>
        <v>3.6111056246732378</v>
      </c>
      <c r="AE110" s="270">
        <f t="shared" si="14"/>
        <v>3.6111056246732378</v>
      </c>
      <c r="AF110" s="270">
        <f t="shared" si="14"/>
        <v>3.6111056246732378</v>
      </c>
      <c r="AG110" s="270">
        <f t="shared" si="14"/>
        <v>27.383958089133888</v>
      </c>
      <c r="AH110" s="270">
        <f t="shared" si="14"/>
        <v>-6.4671088642966206</v>
      </c>
      <c r="AI110" s="270">
        <f t="shared" si="14"/>
        <v>-5.7431990235840562</v>
      </c>
      <c r="AJ110" s="270">
        <f t="shared" si="14"/>
        <v>-6.4671088642966206</v>
      </c>
      <c r="AK110" s="270">
        <f t="shared" si="14"/>
        <v>-6.4671088642966206</v>
      </c>
      <c r="AL110" s="270">
        <f t="shared" si="14"/>
        <v>-5.7431990235840562</v>
      </c>
      <c r="AM110" s="270">
        <f t="shared" si="14"/>
        <v>-5.7431990235840562</v>
      </c>
      <c r="AN110" s="270">
        <f t="shared" si="14"/>
        <v>-4.4077410438205549</v>
      </c>
      <c r="AO110" s="270">
        <f t="shared" si="14"/>
        <v>-4.4077410438205549</v>
      </c>
      <c r="AP110" s="256"/>
      <c r="AQ110" s="256"/>
    </row>
    <row r="111" spans="2:43" x14ac:dyDescent="0.35">
      <c r="D111"/>
      <c r="E111" s="78"/>
      <c r="F111" t="s">
        <v>157</v>
      </c>
      <c r="G111" t="s">
        <v>269</v>
      </c>
      <c r="H111" s="268"/>
      <c r="I111" s="256"/>
      <c r="J111" s="271">
        <f t="shared" ref="J111" si="15" xml:space="preserve"> J21 + J33</f>
        <v>1.1840664639985359</v>
      </c>
      <c r="K111" s="271">
        <f t="shared" ref="K111:AO111" si="16" xml:space="preserve"> K21 + K33</f>
        <v>1.1840664639985359</v>
      </c>
      <c r="L111" s="271">
        <f t="shared" si="16"/>
        <v>1.1075940508211499</v>
      </c>
      <c r="M111" s="271">
        <f t="shared" si="16"/>
        <v>1.1075940508211499</v>
      </c>
      <c r="N111" s="271">
        <f t="shared" si="16"/>
        <v>1.1075940508211499</v>
      </c>
      <c r="O111" s="271">
        <f t="shared" si="16"/>
        <v>1.1075940508211499</v>
      </c>
      <c r="P111" s="271">
        <f t="shared" si="16"/>
        <v>1.1075940508211499</v>
      </c>
      <c r="Q111" s="271">
        <f t="shared" si="16"/>
        <v>1.1075940508211499</v>
      </c>
      <c r="R111" s="271">
        <f t="shared" si="16"/>
        <v>0.74505952499466721</v>
      </c>
      <c r="S111" s="271">
        <f t="shared" si="16"/>
        <v>0.74505952499466721</v>
      </c>
      <c r="T111" s="271">
        <f t="shared" si="16"/>
        <v>0.74505952499466721</v>
      </c>
      <c r="U111" s="271">
        <f t="shared" si="16"/>
        <v>0.74505952499466721</v>
      </c>
      <c r="V111" s="271">
        <f t="shared" si="16"/>
        <v>0.74505952499466721</v>
      </c>
      <c r="W111" s="271">
        <f t="shared" si="16"/>
        <v>0.34012821867000353</v>
      </c>
      <c r="X111" s="271">
        <f t="shared" si="16"/>
        <v>0.34012821867000353</v>
      </c>
      <c r="Y111" s="271">
        <f t="shared" si="16"/>
        <v>0.34012821867000353</v>
      </c>
      <c r="Z111" s="271">
        <f t="shared" si="16"/>
        <v>0.34012821867000353</v>
      </c>
      <c r="AA111" s="271">
        <f t="shared" si="16"/>
        <v>0.34012821867000353</v>
      </c>
      <c r="AB111" s="271">
        <f t="shared" si="16"/>
        <v>0.23969521230552152</v>
      </c>
      <c r="AC111" s="271">
        <f t="shared" si="16"/>
        <v>0.23969521230552152</v>
      </c>
      <c r="AD111" s="271">
        <f t="shared" si="16"/>
        <v>0.23969521230552152</v>
      </c>
      <c r="AE111" s="271">
        <f t="shared" si="16"/>
        <v>0.23969521230552152</v>
      </c>
      <c r="AF111" s="271">
        <f t="shared" si="16"/>
        <v>0.23969521230552152</v>
      </c>
      <c r="AG111" s="271">
        <f t="shared" si="16"/>
        <v>6.2101308626493772</v>
      </c>
      <c r="AH111" s="271">
        <f t="shared" si="16"/>
        <v>-0.82187344923759953</v>
      </c>
      <c r="AI111" s="271">
        <f t="shared" si="16"/>
        <v>-0.66738501200260569</v>
      </c>
      <c r="AJ111" s="271">
        <f t="shared" si="16"/>
        <v>-0.82187344923759953</v>
      </c>
      <c r="AK111" s="271">
        <f t="shared" si="16"/>
        <v>-0.82187344923759953</v>
      </c>
      <c r="AL111" s="271">
        <f t="shared" si="16"/>
        <v>-0.66738501200260569</v>
      </c>
      <c r="AM111" s="271">
        <f t="shared" si="16"/>
        <v>-0.66738501200260569</v>
      </c>
      <c r="AN111" s="271">
        <f t="shared" si="16"/>
        <v>-0.32883259082754929</v>
      </c>
      <c r="AO111" s="271">
        <f t="shared" si="16"/>
        <v>-0.32883259082754929</v>
      </c>
      <c r="AP111" s="256"/>
      <c r="AQ111" s="256"/>
    </row>
    <row r="112" spans="2:43" x14ac:dyDescent="0.35">
      <c r="D112"/>
      <c r="E112" s="78"/>
      <c r="F112" t="s">
        <v>158</v>
      </c>
      <c r="G112" t="s">
        <v>269</v>
      </c>
      <c r="H112" s="268"/>
      <c r="I112" s="256"/>
      <c r="J112" s="271">
        <f t="shared" ref="J112" si="17" xml:space="preserve"> J22 + J34</f>
        <v>5.710557616527933E-2</v>
      </c>
      <c r="K112" s="271">
        <f t="shared" ref="K112:AO112" si="18" xml:space="preserve"> K22 + K34</f>
        <v>5.710557616527933E-2</v>
      </c>
      <c r="L112" s="271">
        <f t="shared" si="18"/>
        <v>5.3417437578449689E-2</v>
      </c>
      <c r="M112" s="271">
        <f t="shared" si="18"/>
        <v>5.3417437578449689E-2</v>
      </c>
      <c r="N112" s="271">
        <f t="shared" si="18"/>
        <v>5.3417437578449689E-2</v>
      </c>
      <c r="O112" s="271">
        <f t="shared" si="18"/>
        <v>5.3417437578449689E-2</v>
      </c>
      <c r="P112" s="271">
        <f t="shared" si="18"/>
        <v>5.3417437578449689E-2</v>
      </c>
      <c r="Q112" s="271">
        <f t="shared" si="18"/>
        <v>5.3417437578449689E-2</v>
      </c>
      <c r="R112" s="271">
        <f t="shared" si="18"/>
        <v>3.5352393244154082E-2</v>
      </c>
      <c r="S112" s="271">
        <f t="shared" si="18"/>
        <v>3.5352393244154082E-2</v>
      </c>
      <c r="T112" s="271">
        <f t="shared" si="18"/>
        <v>3.5352393244154082E-2</v>
      </c>
      <c r="U112" s="271">
        <f t="shared" si="18"/>
        <v>3.5352393244154082E-2</v>
      </c>
      <c r="V112" s="271">
        <f t="shared" si="18"/>
        <v>3.5352393244154082E-2</v>
      </c>
      <c r="W112" s="271">
        <f t="shared" si="18"/>
        <v>1.5257810460316851E-2</v>
      </c>
      <c r="X112" s="271">
        <f t="shared" si="18"/>
        <v>1.5257810460316851E-2</v>
      </c>
      <c r="Y112" s="271">
        <f t="shared" si="18"/>
        <v>1.5257810460316851E-2</v>
      </c>
      <c r="Z112" s="271">
        <f t="shared" si="18"/>
        <v>1.5257810460316851E-2</v>
      </c>
      <c r="AA112" s="271">
        <f t="shared" si="18"/>
        <v>1.5257810460316851E-2</v>
      </c>
      <c r="AB112" s="271">
        <f t="shared" si="18"/>
        <v>1.0544425190881661E-2</v>
      </c>
      <c r="AC112" s="271">
        <f t="shared" si="18"/>
        <v>1.0544425190881661E-2</v>
      </c>
      <c r="AD112" s="271">
        <f t="shared" si="18"/>
        <v>1.0544425190881661E-2</v>
      </c>
      <c r="AE112" s="271">
        <f t="shared" si="18"/>
        <v>1.0544425190881661E-2</v>
      </c>
      <c r="AF112" s="271">
        <f t="shared" si="18"/>
        <v>1.0544425190881661E-2</v>
      </c>
      <c r="AG112" s="271">
        <f t="shared" si="18"/>
        <v>5.1587550553930939</v>
      </c>
      <c r="AH112" s="271">
        <f t="shared" si="18"/>
        <v>-3.9637603361526004E-2</v>
      </c>
      <c r="AI112" s="271">
        <f t="shared" si="18"/>
        <v>-3.1885340997794977E-2</v>
      </c>
      <c r="AJ112" s="271">
        <f t="shared" si="18"/>
        <v>-3.9637603361526004E-2</v>
      </c>
      <c r="AK112" s="271">
        <f t="shared" si="18"/>
        <v>-3.9637603361526004E-2</v>
      </c>
      <c r="AL112" s="271">
        <f t="shared" si="18"/>
        <v>-3.1885340997794977E-2</v>
      </c>
      <c r="AM112" s="271">
        <f t="shared" si="18"/>
        <v>-3.1885340997794977E-2</v>
      </c>
      <c r="AN112" s="271">
        <f t="shared" si="18"/>
        <v>-1.4744214024831974E-2</v>
      </c>
      <c r="AO112" s="271">
        <f t="shared" si="18"/>
        <v>-1.4744214024831974E-2</v>
      </c>
      <c r="AP112" s="256"/>
      <c r="AQ112" s="256"/>
    </row>
    <row r="113" spans="3:43" x14ac:dyDescent="0.35">
      <c r="D113"/>
      <c r="E113" s="78"/>
      <c r="F113" t="s">
        <v>159</v>
      </c>
      <c r="G113" t="s">
        <v>270</v>
      </c>
      <c r="H113" s="41"/>
      <c r="J113" s="88">
        <f t="shared" ref="J113" si="19" xml:space="preserve"> J23 + J35</f>
        <v>25.206971720992335</v>
      </c>
      <c r="K113" s="88">
        <f t="shared" ref="K113:AO113" si="20" xml:space="preserve"> K23 + K35</f>
        <v>0</v>
      </c>
      <c r="L113" s="88">
        <f t="shared" si="20"/>
        <v>9.5772354491088763</v>
      </c>
      <c r="M113" s="88">
        <f t="shared" si="20"/>
        <v>27.739657238641104</v>
      </c>
      <c r="N113" s="88">
        <f t="shared" si="20"/>
        <v>59.293737301484597</v>
      </c>
      <c r="O113" s="88">
        <f t="shared" si="20"/>
        <v>119.67544626051264</v>
      </c>
      <c r="P113" s="88">
        <f t="shared" si="20"/>
        <v>319.19546542872075</v>
      </c>
      <c r="Q113" s="88">
        <f t="shared" si="20"/>
        <v>0</v>
      </c>
      <c r="R113" s="88">
        <f t="shared" si="20"/>
        <v>22.808539817430944</v>
      </c>
      <c r="S113" s="88">
        <f t="shared" si="20"/>
        <v>576.88504277714264</v>
      </c>
      <c r="T113" s="88">
        <f t="shared" si="20"/>
        <v>952.44549262605585</v>
      </c>
      <c r="U113" s="88">
        <f t="shared" si="20"/>
        <v>1594.3049290316148</v>
      </c>
      <c r="V113" s="88">
        <f t="shared" si="20"/>
        <v>4000.7787489043858</v>
      </c>
      <c r="W113" s="88">
        <f t="shared" si="20"/>
        <v>58.506264025464517</v>
      </c>
      <c r="X113" s="88">
        <f t="shared" si="20"/>
        <v>612.58276698517614</v>
      </c>
      <c r="Y113" s="88">
        <f t="shared" si="20"/>
        <v>988.14321683408946</v>
      </c>
      <c r="Z113" s="88">
        <f t="shared" si="20"/>
        <v>1630.0026532396487</v>
      </c>
      <c r="AA113" s="88">
        <f t="shared" si="20"/>
        <v>4036.4764731124183</v>
      </c>
      <c r="AB113" s="88">
        <f t="shared" si="20"/>
        <v>209.1390454732356</v>
      </c>
      <c r="AC113" s="88">
        <f t="shared" si="20"/>
        <v>3339.8747864874731</v>
      </c>
      <c r="AD113" s="88">
        <f t="shared" si="20"/>
        <v>8321.403832065158</v>
      </c>
      <c r="AE113" s="88">
        <f t="shared" si="20"/>
        <v>16099.712134562707</v>
      </c>
      <c r="AF113" s="88">
        <f t="shared" si="20"/>
        <v>41095.450681083559</v>
      </c>
      <c r="AG113" s="88">
        <f t="shared" si="20"/>
        <v>0</v>
      </c>
      <c r="AH113" s="88">
        <f t="shared" si="20"/>
        <v>0</v>
      </c>
      <c r="AI113" s="88">
        <f t="shared" si="20"/>
        <v>0</v>
      </c>
      <c r="AJ113" s="88">
        <f t="shared" si="20"/>
        <v>0</v>
      </c>
      <c r="AK113" s="88">
        <f t="shared" si="20"/>
        <v>0</v>
      </c>
      <c r="AL113" s="88">
        <f t="shared" si="20"/>
        <v>0</v>
      </c>
      <c r="AM113" s="88">
        <f t="shared" si="20"/>
        <v>0</v>
      </c>
      <c r="AN113" s="88">
        <f t="shared" si="20"/>
        <v>416.37953829088679</v>
      </c>
      <c r="AO113" s="88">
        <f t="shared" si="20"/>
        <v>416.37953829088679</v>
      </c>
    </row>
    <row r="114" spans="3:43" x14ac:dyDescent="0.35">
      <c r="D114"/>
      <c r="E114" s="78"/>
      <c r="F114" t="s">
        <v>160</v>
      </c>
      <c r="G114" t="s">
        <v>271</v>
      </c>
      <c r="H114" s="41"/>
      <c r="J114" s="88">
        <f t="shared" ref="J114" si="21" xml:space="preserve"> J24 + J36</f>
        <v>0</v>
      </c>
      <c r="K114" s="88">
        <f t="shared" ref="K114:AO114" si="22" xml:space="preserve"> K24 + K36</f>
        <v>0</v>
      </c>
      <c r="L114" s="88">
        <f t="shared" si="22"/>
        <v>0</v>
      </c>
      <c r="M114" s="88">
        <f t="shared" si="22"/>
        <v>0</v>
      </c>
      <c r="N114" s="88">
        <f t="shared" si="22"/>
        <v>0</v>
      </c>
      <c r="O114" s="88">
        <f t="shared" si="22"/>
        <v>0</v>
      </c>
      <c r="P114" s="88">
        <f t="shared" si="22"/>
        <v>0</v>
      </c>
      <c r="Q114" s="88">
        <f t="shared" si="22"/>
        <v>0</v>
      </c>
      <c r="R114" s="88">
        <f t="shared" si="22"/>
        <v>4.102817462086314</v>
      </c>
      <c r="S114" s="88">
        <f t="shared" si="22"/>
        <v>4.102817462086314</v>
      </c>
      <c r="T114" s="88">
        <f t="shared" si="22"/>
        <v>4.102817462086314</v>
      </c>
      <c r="U114" s="88">
        <f t="shared" si="22"/>
        <v>4.102817462086314</v>
      </c>
      <c r="V114" s="88">
        <f t="shared" si="22"/>
        <v>4.102817462086314</v>
      </c>
      <c r="W114" s="88">
        <f t="shared" si="22"/>
        <v>5.5071913345692804</v>
      </c>
      <c r="X114" s="88">
        <f t="shared" si="22"/>
        <v>5.5071913345692804</v>
      </c>
      <c r="Y114" s="88">
        <f t="shared" si="22"/>
        <v>5.5071913345692804</v>
      </c>
      <c r="Z114" s="88">
        <f t="shared" si="22"/>
        <v>5.5071913345692804</v>
      </c>
      <c r="AA114" s="88">
        <f t="shared" si="22"/>
        <v>5.5071913345692804</v>
      </c>
      <c r="AB114" s="88">
        <f t="shared" si="22"/>
        <v>6.4949443898028001</v>
      </c>
      <c r="AC114" s="88">
        <f t="shared" si="22"/>
        <v>6.4949443898028001</v>
      </c>
      <c r="AD114" s="88">
        <f t="shared" si="22"/>
        <v>6.4949443898028001</v>
      </c>
      <c r="AE114" s="88">
        <f t="shared" si="22"/>
        <v>6.4949443898028001</v>
      </c>
      <c r="AF114" s="88">
        <f t="shared" si="22"/>
        <v>6.4949443898028001</v>
      </c>
      <c r="AG114" s="88">
        <f t="shared" si="22"/>
        <v>0</v>
      </c>
      <c r="AH114" s="88">
        <f t="shared" si="22"/>
        <v>0</v>
      </c>
      <c r="AI114" s="88">
        <f t="shared" si="22"/>
        <v>0</v>
      </c>
      <c r="AJ114" s="88">
        <f t="shared" si="22"/>
        <v>0</v>
      </c>
      <c r="AK114" s="88">
        <f t="shared" si="22"/>
        <v>0</v>
      </c>
      <c r="AL114" s="88">
        <f t="shared" si="22"/>
        <v>0</v>
      </c>
      <c r="AM114" s="88">
        <f t="shared" si="22"/>
        <v>0</v>
      </c>
      <c r="AN114" s="88">
        <f t="shared" si="22"/>
        <v>0</v>
      </c>
      <c r="AO114" s="88">
        <f t="shared" si="22"/>
        <v>0</v>
      </c>
    </row>
    <row r="115" spans="3:43" x14ac:dyDescent="0.35">
      <c r="D115"/>
      <c r="E115" s="78"/>
      <c r="F115" t="s">
        <v>161</v>
      </c>
      <c r="G115" t="s">
        <v>271</v>
      </c>
      <c r="H115" s="41"/>
      <c r="J115" s="88">
        <f t="shared" ref="J115" si="23" xml:space="preserve"> J25 + J37</f>
        <v>0</v>
      </c>
      <c r="K115" s="88">
        <f t="shared" ref="K115:AO115" si="24" xml:space="preserve"> K25 + K37</f>
        <v>0</v>
      </c>
      <c r="L115" s="88">
        <f t="shared" si="24"/>
        <v>0</v>
      </c>
      <c r="M115" s="88">
        <f t="shared" si="24"/>
        <v>0</v>
      </c>
      <c r="N115" s="88">
        <f t="shared" si="24"/>
        <v>0</v>
      </c>
      <c r="O115" s="88">
        <f t="shared" si="24"/>
        <v>0</v>
      </c>
      <c r="P115" s="88">
        <f t="shared" si="24"/>
        <v>0</v>
      </c>
      <c r="Q115" s="88">
        <f t="shared" si="24"/>
        <v>0</v>
      </c>
      <c r="R115" s="88">
        <f t="shared" si="24"/>
        <v>7.1725728517083365</v>
      </c>
      <c r="S115" s="88">
        <f t="shared" si="24"/>
        <v>7.1725728517083365</v>
      </c>
      <c r="T115" s="88">
        <f t="shared" si="24"/>
        <v>7.1725728517083365</v>
      </c>
      <c r="U115" s="88">
        <f t="shared" si="24"/>
        <v>7.1725728517083365</v>
      </c>
      <c r="V115" s="88">
        <f t="shared" si="24"/>
        <v>7.1725728517083365</v>
      </c>
      <c r="W115" s="88">
        <f t="shared" si="24"/>
        <v>7.0570430446951793</v>
      </c>
      <c r="X115" s="88">
        <f t="shared" si="24"/>
        <v>7.0570430446951793</v>
      </c>
      <c r="Y115" s="88">
        <f t="shared" si="24"/>
        <v>7.0570430446951793</v>
      </c>
      <c r="Z115" s="88">
        <f t="shared" si="24"/>
        <v>7.0570430446951793</v>
      </c>
      <c r="AA115" s="88">
        <f t="shared" si="24"/>
        <v>7.0570430446951793</v>
      </c>
      <c r="AB115" s="88">
        <f t="shared" si="24"/>
        <v>7.7468803699975215</v>
      </c>
      <c r="AC115" s="88">
        <f t="shared" si="24"/>
        <v>7.7468803699975215</v>
      </c>
      <c r="AD115" s="88">
        <f t="shared" si="24"/>
        <v>7.7468803699975215</v>
      </c>
      <c r="AE115" s="88">
        <f t="shared" si="24"/>
        <v>7.7468803699975215</v>
      </c>
      <c r="AF115" s="88">
        <f t="shared" si="24"/>
        <v>7.7468803699975215</v>
      </c>
      <c r="AG115" s="88">
        <f t="shared" si="24"/>
        <v>0</v>
      </c>
      <c r="AH115" s="88">
        <f t="shared" si="24"/>
        <v>0</v>
      </c>
      <c r="AI115" s="88">
        <f t="shared" si="24"/>
        <v>0</v>
      </c>
      <c r="AJ115" s="88">
        <f t="shared" si="24"/>
        <v>0</v>
      </c>
      <c r="AK115" s="88">
        <f t="shared" si="24"/>
        <v>0</v>
      </c>
      <c r="AL115" s="88">
        <f t="shared" si="24"/>
        <v>0</v>
      </c>
      <c r="AM115" s="88">
        <f t="shared" si="24"/>
        <v>0</v>
      </c>
      <c r="AN115" s="88">
        <f t="shared" si="24"/>
        <v>0</v>
      </c>
      <c r="AO115" s="88">
        <f t="shared" si="24"/>
        <v>0</v>
      </c>
    </row>
    <row r="116" spans="3:43" x14ac:dyDescent="0.35">
      <c r="D116"/>
      <c r="E116" s="78"/>
      <c r="F116" s="28" t="s">
        <v>162</v>
      </c>
      <c r="G116" s="28" t="s">
        <v>272</v>
      </c>
      <c r="H116" s="272"/>
      <c r="I116" s="258"/>
      <c r="J116" s="273">
        <f t="shared" ref="J116" si="25" xml:space="preserve"> J26 + J38</f>
        <v>0</v>
      </c>
      <c r="K116" s="273">
        <f t="shared" ref="K116:AO116" si="26" xml:space="preserve"> K26 + K38</f>
        <v>0</v>
      </c>
      <c r="L116" s="273">
        <f t="shared" si="26"/>
        <v>0</v>
      </c>
      <c r="M116" s="273">
        <f t="shared" si="26"/>
        <v>0</v>
      </c>
      <c r="N116" s="273">
        <f t="shared" si="26"/>
        <v>0</v>
      </c>
      <c r="O116" s="273">
        <f t="shared" si="26"/>
        <v>0</v>
      </c>
      <c r="P116" s="273">
        <f t="shared" si="26"/>
        <v>0</v>
      </c>
      <c r="Q116" s="273">
        <f t="shared" si="26"/>
        <v>0</v>
      </c>
      <c r="R116" s="273">
        <f t="shared" si="26"/>
        <v>0.24512613643318029</v>
      </c>
      <c r="S116" s="273">
        <f t="shared" si="26"/>
        <v>0.24512613643318029</v>
      </c>
      <c r="T116" s="273">
        <f t="shared" si="26"/>
        <v>0.24512613643318029</v>
      </c>
      <c r="U116" s="273">
        <f t="shared" si="26"/>
        <v>0.24512613643318029</v>
      </c>
      <c r="V116" s="273">
        <f t="shared" si="26"/>
        <v>0.24512613643318029</v>
      </c>
      <c r="W116" s="273">
        <f t="shared" si="26"/>
        <v>0.13673476998950587</v>
      </c>
      <c r="X116" s="273">
        <f t="shared" si="26"/>
        <v>0.13673476998950587</v>
      </c>
      <c r="Y116" s="273">
        <f t="shared" si="26"/>
        <v>0.13673476998950587</v>
      </c>
      <c r="Z116" s="273">
        <f t="shared" si="26"/>
        <v>0.13673476998950587</v>
      </c>
      <c r="AA116" s="273">
        <f t="shared" si="26"/>
        <v>0.13673476998950587</v>
      </c>
      <c r="AB116" s="273">
        <f t="shared" si="26"/>
        <v>0.10397606554030356</v>
      </c>
      <c r="AC116" s="273">
        <f t="shared" si="26"/>
        <v>0.10397606554030356</v>
      </c>
      <c r="AD116" s="273">
        <f t="shared" si="26"/>
        <v>0.10397606554030356</v>
      </c>
      <c r="AE116" s="273">
        <f t="shared" si="26"/>
        <v>0.10397606554030356</v>
      </c>
      <c r="AF116" s="273">
        <f t="shared" si="26"/>
        <v>0.10397606554030356</v>
      </c>
      <c r="AG116" s="273">
        <f t="shared" si="26"/>
        <v>0</v>
      </c>
      <c r="AH116" s="273">
        <f t="shared" si="26"/>
        <v>0</v>
      </c>
      <c r="AI116" s="273">
        <f t="shared" si="26"/>
        <v>0</v>
      </c>
      <c r="AJ116" s="273">
        <f t="shared" si="26"/>
        <v>0.25365596464299434</v>
      </c>
      <c r="AK116" s="273">
        <f t="shared" si="26"/>
        <v>0</v>
      </c>
      <c r="AL116" s="273">
        <f t="shared" si="26"/>
        <v>0.20991484341611574</v>
      </c>
      <c r="AM116" s="273">
        <f t="shared" si="26"/>
        <v>0</v>
      </c>
      <c r="AN116" s="273">
        <f t="shared" si="26"/>
        <v>0.18197756357782038</v>
      </c>
      <c r="AO116" s="273">
        <f t="shared" si="26"/>
        <v>0</v>
      </c>
      <c r="AP116" s="256"/>
      <c r="AQ116" s="256"/>
    </row>
    <row r="117" spans="3:43" x14ac:dyDescent="0.35">
      <c r="D117" s="27"/>
      <c r="E117"/>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row>
    <row r="118" spans="3:43" x14ac:dyDescent="0.35">
      <c r="C118" s="26" t="str">
        <f ca="1">INDEX('Version control'!$H$38:$H$61,MATCH($A$1,'Version control'!$F$38:$F$61,0),1)&amp;"-G: Tariff forecast, post-adders &amp; discounting"</f>
        <v>Section 117-G: Tariff forecast, post-adders &amp; discounting</v>
      </c>
      <c r="D118" s="26"/>
      <c r="E118" s="26"/>
      <c r="F118" s="26"/>
      <c r="G118" s="26"/>
      <c r="H118" s="26"/>
      <c r="I118" s="26"/>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26"/>
      <c r="AQ118" s="26"/>
    </row>
    <row r="119" spans="3:43" x14ac:dyDescent="0.35">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row>
    <row r="120" spans="3:43" x14ac:dyDescent="0.35">
      <c r="E120" s="27" t="s">
        <v>888</v>
      </c>
      <c r="F120" s="27"/>
      <c r="I120" t="s">
        <v>154</v>
      </c>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c r="AQ120" t="s">
        <v>895</v>
      </c>
    </row>
    <row r="121" spans="3:43" x14ac:dyDescent="0.35">
      <c r="E121" s="78"/>
      <c r="F121" s="19" t="s">
        <v>156</v>
      </c>
      <c r="G121" s="19" t="s">
        <v>269</v>
      </c>
      <c r="H121" s="267"/>
      <c r="I121" s="255"/>
      <c r="J121" s="313">
        <f xml:space="preserve"> J110 + J44</f>
        <v>9.3171116944398857</v>
      </c>
      <c r="K121" s="313">
        <f t="shared" ref="K121:AO121" si="27" xml:space="preserve"> K110 + K44</f>
        <v>9.3171116944398857</v>
      </c>
      <c r="L121" s="313">
        <f t="shared" si="27"/>
        <v>8.7153701226779656</v>
      </c>
      <c r="M121" s="313">
        <f t="shared" si="27"/>
        <v>8.7153701226779656</v>
      </c>
      <c r="N121" s="313">
        <f t="shared" si="27"/>
        <v>8.7153701226779656</v>
      </c>
      <c r="O121" s="313">
        <f t="shared" si="27"/>
        <v>8.7153701226779656</v>
      </c>
      <c r="P121" s="313">
        <f t="shared" si="27"/>
        <v>8.7153701226779656</v>
      </c>
      <c r="Q121" s="313">
        <f t="shared" si="27"/>
        <v>8.7153701226779656</v>
      </c>
      <c r="R121" s="313">
        <f t="shared" si="27"/>
        <v>6.8094647784894793</v>
      </c>
      <c r="S121" s="313">
        <f t="shared" si="27"/>
        <v>6.8094647784894793</v>
      </c>
      <c r="T121" s="313">
        <f t="shared" si="27"/>
        <v>6.8094647784894793</v>
      </c>
      <c r="U121" s="313">
        <f t="shared" si="27"/>
        <v>6.8094647784894793</v>
      </c>
      <c r="V121" s="313">
        <f t="shared" si="27"/>
        <v>6.8094647784894793</v>
      </c>
      <c r="W121" s="313">
        <f t="shared" si="27"/>
        <v>4.5451823626979291</v>
      </c>
      <c r="X121" s="313">
        <f t="shared" si="27"/>
        <v>4.5451823626979291</v>
      </c>
      <c r="Y121" s="313">
        <f t="shared" si="27"/>
        <v>4.5451823626979291</v>
      </c>
      <c r="Z121" s="313">
        <f t="shared" si="27"/>
        <v>4.5451823626979291</v>
      </c>
      <c r="AA121" s="313">
        <f t="shared" si="27"/>
        <v>4.5451823626979291</v>
      </c>
      <c r="AB121" s="313">
        <f t="shared" si="27"/>
        <v>3.6111056246732378</v>
      </c>
      <c r="AC121" s="313">
        <f t="shared" si="27"/>
        <v>3.6111056246732378</v>
      </c>
      <c r="AD121" s="313">
        <f t="shared" si="27"/>
        <v>3.6111056246732378</v>
      </c>
      <c r="AE121" s="313">
        <f t="shared" si="27"/>
        <v>3.6111056246732378</v>
      </c>
      <c r="AF121" s="313">
        <f t="shared" si="27"/>
        <v>3.6111056246732378</v>
      </c>
      <c r="AG121" s="313">
        <f t="shared" si="27"/>
        <v>27.383958089133888</v>
      </c>
      <c r="AH121" s="313">
        <f t="shared" si="27"/>
        <v>-6.4671088642966206</v>
      </c>
      <c r="AI121" s="313">
        <f t="shared" si="27"/>
        <v>-5.7431990235840562</v>
      </c>
      <c r="AJ121" s="313">
        <f t="shared" si="27"/>
        <v>-6.4671088642966206</v>
      </c>
      <c r="AK121" s="313">
        <f t="shared" si="27"/>
        <v>-6.4671088642966206</v>
      </c>
      <c r="AL121" s="313">
        <f t="shared" si="27"/>
        <v>-5.7431990235840562</v>
      </c>
      <c r="AM121" s="313">
        <f t="shared" si="27"/>
        <v>-5.7431990235840562</v>
      </c>
      <c r="AN121" s="313">
        <f t="shared" si="27"/>
        <v>-4.4077410438205549</v>
      </c>
      <c r="AO121" s="313">
        <f t="shared" si="27"/>
        <v>-4.4077410438205549</v>
      </c>
      <c r="AP121" s="256"/>
      <c r="AQ121" s="256"/>
    </row>
    <row r="122" spans="3:43" x14ac:dyDescent="0.35">
      <c r="E122" s="78"/>
      <c r="F122" t="s">
        <v>157</v>
      </c>
      <c r="G122" t="s">
        <v>269</v>
      </c>
      <c r="H122" s="268"/>
      <c r="I122" s="256"/>
      <c r="J122" s="314">
        <f t="shared" ref="J122" si="28" xml:space="preserve"> J111 + J45</f>
        <v>1.1840664639985359</v>
      </c>
      <c r="K122" s="314">
        <f t="shared" ref="K122:AO122" si="29" xml:space="preserve"> K111 + K45</f>
        <v>1.1840664639985359</v>
      </c>
      <c r="L122" s="314">
        <f t="shared" si="29"/>
        <v>1.1075940508211499</v>
      </c>
      <c r="M122" s="314">
        <f t="shared" si="29"/>
        <v>1.1075940508211499</v>
      </c>
      <c r="N122" s="314">
        <f t="shared" si="29"/>
        <v>1.1075940508211499</v>
      </c>
      <c r="O122" s="314">
        <f t="shared" si="29"/>
        <v>1.1075940508211499</v>
      </c>
      <c r="P122" s="314">
        <f t="shared" si="29"/>
        <v>1.1075940508211499</v>
      </c>
      <c r="Q122" s="314">
        <f t="shared" si="29"/>
        <v>1.1075940508211499</v>
      </c>
      <c r="R122" s="314">
        <f t="shared" si="29"/>
        <v>0.74505952499466721</v>
      </c>
      <c r="S122" s="314">
        <f t="shared" si="29"/>
        <v>0.74505952499466721</v>
      </c>
      <c r="T122" s="314">
        <f t="shared" si="29"/>
        <v>0.74505952499466721</v>
      </c>
      <c r="U122" s="314">
        <f t="shared" si="29"/>
        <v>0.74505952499466721</v>
      </c>
      <c r="V122" s="314">
        <f t="shared" si="29"/>
        <v>0.74505952499466721</v>
      </c>
      <c r="W122" s="314">
        <f t="shared" si="29"/>
        <v>0.34012821867000353</v>
      </c>
      <c r="X122" s="314">
        <f t="shared" si="29"/>
        <v>0.34012821867000353</v>
      </c>
      <c r="Y122" s="314">
        <f t="shared" si="29"/>
        <v>0.34012821867000353</v>
      </c>
      <c r="Z122" s="314">
        <f t="shared" si="29"/>
        <v>0.34012821867000353</v>
      </c>
      <c r="AA122" s="314">
        <f t="shared" si="29"/>
        <v>0.34012821867000353</v>
      </c>
      <c r="AB122" s="314">
        <f t="shared" si="29"/>
        <v>0.23969521230552152</v>
      </c>
      <c r="AC122" s="314">
        <f t="shared" si="29"/>
        <v>0.23969521230552152</v>
      </c>
      <c r="AD122" s="314">
        <f t="shared" si="29"/>
        <v>0.23969521230552152</v>
      </c>
      <c r="AE122" s="314">
        <f t="shared" si="29"/>
        <v>0.23969521230552152</v>
      </c>
      <c r="AF122" s="314">
        <f t="shared" si="29"/>
        <v>0.23969521230552152</v>
      </c>
      <c r="AG122" s="314">
        <f t="shared" si="29"/>
        <v>6.2101308626493772</v>
      </c>
      <c r="AH122" s="314">
        <f t="shared" si="29"/>
        <v>-0.82187344923759953</v>
      </c>
      <c r="AI122" s="314">
        <f t="shared" si="29"/>
        <v>-0.66738501200260569</v>
      </c>
      <c r="AJ122" s="314">
        <f t="shared" si="29"/>
        <v>-0.82187344923759953</v>
      </c>
      <c r="AK122" s="314">
        <f t="shared" si="29"/>
        <v>-0.82187344923759953</v>
      </c>
      <c r="AL122" s="314">
        <f t="shared" si="29"/>
        <v>-0.66738501200260569</v>
      </c>
      <c r="AM122" s="314">
        <f t="shared" si="29"/>
        <v>-0.66738501200260569</v>
      </c>
      <c r="AN122" s="314">
        <f t="shared" si="29"/>
        <v>-0.32883259082754929</v>
      </c>
      <c r="AO122" s="314">
        <f t="shared" si="29"/>
        <v>-0.32883259082754929</v>
      </c>
      <c r="AP122" s="256"/>
      <c r="AQ122" s="256"/>
    </row>
    <row r="123" spans="3:43" x14ac:dyDescent="0.35">
      <c r="E123" s="78"/>
      <c r="F123" t="s">
        <v>158</v>
      </c>
      <c r="G123" t="s">
        <v>269</v>
      </c>
      <c r="H123" s="268"/>
      <c r="I123" s="256"/>
      <c r="J123" s="314">
        <f t="shared" ref="J123" si="30" xml:space="preserve"> J112 + J46</f>
        <v>5.710557616527933E-2</v>
      </c>
      <c r="K123" s="314">
        <f t="shared" ref="K123:AO123" si="31" xml:space="preserve"> K112 + K46</f>
        <v>5.710557616527933E-2</v>
      </c>
      <c r="L123" s="314">
        <f t="shared" si="31"/>
        <v>5.3417437578449689E-2</v>
      </c>
      <c r="M123" s="314">
        <f t="shared" si="31"/>
        <v>5.3417437578449689E-2</v>
      </c>
      <c r="N123" s="314">
        <f t="shared" si="31"/>
        <v>5.3417437578449689E-2</v>
      </c>
      <c r="O123" s="314">
        <f t="shared" si="31"/>
        <v>5.3417437578449689E-2</v>
      </c>
      <c r="P123" s="314">
        <f t="shared" si="31"/>
        <v>5.3417437578449689E-2</v>
      </c>
      <c r="Q123" s="314">
        <f t="shared" si="31"/>
        <v>5.3417437578449689E-2</v>
      </c>
      <c r="R123" s="314">
        <f t="shared" si="31"/>
        <v>3.5352393244154082E-2</v>
      </c>
      <c r="S123" s="314">
        <f t="shared" si="31"/>
        <v>3.5352393244154082E-2</v>
      </c>
      <c r="T123" s="314">
        <f t="shared" si="31"/>
        <v>3.5352393244154082E-2</v>
      </c>
      <c r="U123" s="314">
        <f t="shared" si="31"/>
        <v>3.5352393244154082E-2</v>
      </c>
      <c r="V123" s="314">
        <f t="shared" si="31"/>
        <v>3.5352393244154082E-2</v>
      </c>
      <c r="W123" s="314">
        <f t="shared" si="31"/>
        <v>1.5257810460316851E-2</v>
      </c>
      <c r="X123" s="314">
        <f t="shared" si="31"/>
        <v>1.5257810460316851E-2</v>
      </c>
      <c r="Y123" s="314">
        <f t="shared" si="31"/>
        <v>1.5257810460316851E-2</v>
      </c>
      <c r="Z123" s="314">
        <f t="shared" si="31"/>
        <v>1.5257810460316851E-2</v>
      </c>
      <c r="AA123" s="314">
        <f t="shared" si="31"/>
        <v>1.5257810460316851E-2</v>
      </c>
      <c r="AB123" s="314">
        <f t="shared" si="31"/>
        <v>1.0544425190881661E-2</v>
      </c>
      <c r="AC123" s="314">
        <f t="shared" si="31"/>
        <v>1.0544425190881661E-2</v>
      </c>
      <c r="AD123" s="314">
        <f t="shared" si="31"/>
        <v>1.0544425190881661E-2</v>
      </c>
      <c r="AE123" s="314">
        <f t="shared" si="31"/>
        <v>1.0544425190881661E-2</v>
      </c>
      <c r="AF123" s="314">
        <f t="shared" si="31"/>
        <v>1.0544425190881661E-2</v>
      </c>
      <c r="AG123" s="314">
        <f t="shared" si="31"/>
        <v>5.1587550553930939</v>
      </c>
      <c r="AH123" s="314">
        <f t="shared" si="31"/>
        <v>-3.9637603361526004E-2</v>
      </c>
      <c r="AI123" s="314">
        <f t="shared" si="31"/>
        <v>-3.1885340997794977E-2</v>
      </c>
      <c r="AJ123" s="314">
        <f t="shared" si="31"/>
        <v>-3.9637603361526004E-2</v>
      </c>
      <c r="AK123" s="314">
        <f t="shared" si="31"/>
        <v>-3.9637603361526004E-2</v>
      </c>
      <c r="AL123" s="314">
        <f t="shared" si="31"/>
        <v>-3.1885340997794977E-2</v>
      </c>
      <c r="AM123" s="314">
        <f t="shared" si="31"/>
        <v>-3.1885340997794977E-2</v>
      </c>
      <c r="AN123" s="314">
        <f t="shared" si="31"/>
        <v>-1.4744214024831974E-2</v>
      </c>
      <c r="AO123" s="314">
        <f t="shared" si="31"/>
        <v>-1.4744214024831974E-2</v>
      </c>
      <c r="AP123" s="256"/>
      <c r="AQ123" s="256"/>
    </row>
    <row r="124" spans="3:43" x14ac:dyDescent="0.35">
      <c r="E124" s="78"/>
      <c r="F124" t="s">
        <v>159</v>
      </c>
      <c r="G124" t="s">
        <v>270</v>
      </c>
      <c r="H124" s="41"/>
      <c r="J124" s="315">
        <f t="shared" ref="J124" si="32" xml:space="preserve"> J113 + J47</f>
        <v>25.958321538764036</v>
      </c>
      <c r="K124" s="315">
        <f t="shared" ref="K124:AO124" si="33" xml:space="preserve"> K113 + K47</f>
        <v>0</v>
      </c>
      <c r="L124" s="315">
        <f t="shared" si="33"/>
        <v>10.101432302567243</v>
      </c>
      <c r="M124" s="315">
        <f t="shared" si="33"/>
        <v>28.263854092099471</v>
      </c>
      <c r="N124" s="315">
        <f t="shared" si="33"/>
        <v>59.817934154942968</v>
      </c>
      <c r="O124" s="315">
        <f t="shared" si="33"/>
        <v>120.19964311397101</v>
      </c>
      <c r="P124" s="315">
        <f t="shared" si="33"/>
        <v>319.71966228217912</v>
      </c>
      <c r="Q124" s="315">
        <f t="shared" si="33"/>
        <v>0</v>
      </c>
      <c r="R124" s="315">
        <f t="shared" si="33"/>
        <v>23.332736670889311</v>
      </c>
      <c r="S124" s="315">
        <f t="shared" si="33"/>
        <v>577.40923963060106</v>
      </c>
      <c r="T124" s="315">
        <f t="shared" si="33"/>
        <v>952.96968947951427</v>
      </c>
      <c r="U124" s="315">
        <f t="shared" si="33"/>
        <v>1594.8291258850732</v>
      </c>
      <c r="V124" s="315">
        <f t="shared" si="33"/>
        <v>4001.3029457578441</v>
      </c>
      <c r="W124" s="315">
        <f t="shared" si="33"/>
        <v>59.030460878922888</v>
      </c>
      <c r="X124" s="315">
        <f t="shared" si="33"/>
        <v>613.10696383863456</v>
      </c>
      <c r="Y124" s="315">
        <f t="shared" si="33"/>
        <v>988.66741368754788</v>
      </c>
      <c r="Z124" s="315">
        <f t="shared" si="33"/>
        <v>1630.526850093107</v>
      </c>
      <c r="AA124" s="315">
        <f t="shared" si="33"/>
        <v>4037.0006699658766</v>
      </c>
      <c r="AB124" s="315">
        <f t="shared" si="33"/>
        <v>209.66324232669396</v>
      </c>
      <c r="AC124" s="315">
        <f t="shared" si="33"/>
        <v>3340.3989833409314</v>
      </c>
      <c r="AD124" s="315">
        <f t="shared" si="33"/>
        <v>8321.9280289186172</v>
      </c>
      <c r="AE124" s="315">
        <f t="shared" si="33"/>
        <v>16100.236331416167</v>
      </c>
      <c r="AF124" s="315">
        <f t="shared" si="33"/>
        <v>41095.97487793702</v>
      </c>
      <c r="AG124" s="315">
        <f t="shared" si="33"/>
        <v>0</v>
      </c>
      <c r="AH124" s="315">
        <f t="shared" si="33"/>
        <v>0</v>
      </c>
      <c r="AI124" s="315">
        <f t="shared" si="33"/>
        <v>0</v>
      </c>
      <c r="AJ124" s="315">
        <f t="shared" si="33"/>
        <v>0</v>
      </c>
      <c r="AK124" s="315">
        <f t="shared" si="33"/>
        <v>0</v>
      </c>
      <c r="AL124" s="315">
        <f t="shared" si="33"/>
        <v>0</v>
      </c>
      <c r="AM124" s="315">
        <f t="shared" si="33"/>
        <v>0</v>
      </c>
      <c r="AN124" s="315">
        <f t="shared" si="33"/>
        <v>416.37953829088679</v>
      </c>
      <c r="AO124" s="315">
        <f t="shared" si="33"/>
        <v>416.37953829088679</v>
      </c>
    </row>
    <row r="125" spans="3:43" x14ac:dyDescent="0.35">
      <c r="E125" s="78"/>
      <c r="F125" t="s">
        <v>160</v>
      </c>
      <c r="G125" t="s">
        <v>271</v>
      </c>
      <c r="H125" s="41"/>
      <c r="J125" s="315">
        <f t="shared" ref="J125" si="34" xml:space="preserve"> J114 + J48</f>
        <v>0</v>
      </c>
      <c r="K125" s="315">
        <f t="shared" ref="K125:AO125" si="35" xml:space="preserve"> K114 + K48</f>
        <v>0</v>
      </c>
      <c r="L125" s="315">
        <f t="shared" si="35"/>
        <v>0</v>
      </c>
      <c r="M125" s="315">
        <f t="shared" si="35"/>
        <v>0</v>
      </c>
      <c r="N125" s="315">
        <f t="shared" si="35"/>
        <v>0</v>
      </c>
      <c r="O125" s="315">
        <f t="shared" si="35"/>
        <v>0</v>
      </c>
      <c r="P125" s="315">
        <f t="shared" si="35"/>
        <v>0</v>
      </c>
      <c r="Q125" s="315">
        <f t="shared" si="35"/>
        <v>0</v>
      </c>
      <c r="R125" s="315">
        <f t="shared" si="35"/>
        <v>4.102817462086314</v>
      </c>
      <c r="S125" s="315">
        <f t="shared" si="35"/>
        <v>4.102817462086314</v>
      </c>
      <c r="T125" s="315">
        <f t="shared" si="35"/>
        <v>4.102817462086314</v>
      </c>
      <c r="U125" s="315">
        <f t="shared" si="35"/>
        <v>4.102817462086314</v>
      </c>
      <c r="V125" s="315">
        <f t="shared" si="35"/>
        <v>4.102817462086314</v>
      </c>
      <c r="W125" s="315">
        <f t="shared" si="35"/>
        <v>5.5071913345692804</v>
      </c>
      <c r="X125" s="315">
        <f t="shared" si="35"/>
        <v>5.5071913345692804</v>
      </c>
      <c r="Y125" s="315">
        <f t="shared" si="35"/>
        <v>5.5071913345692804</v>
      </c>
      <c r="Z125" s="315">
        <f t="shared" si="35"/>
        <v>5.5071913345692804</v>
      </c>
      <c r="AA125" s="315">
        <f t="shared" si="35"/>
        <v>5.5071913345692804</v>
      </c>
      <c r="AB125" s="315">
        <f t="shared" si="35"/>
        <v>6.4949443898028001</v>
      </c>
      <c r="AC125" s="315">
        <f t="shared" si="35"/>
        <v>6.4949443898028001</v>
      </c>
      <c r="AD125" s="315">
        <f t="shared" si="35"/>
        <v>6.4949443898028001</v>
      </c>
      <c r="AE125" s="315">
        <f t="shared" si="35"/>
        <v>6.4949443898028001</v>
      </c>
      <c r="AF125" s="315">
        <f t="shared" si="35"/>
        <v>6.4949443898028001</v>
      </c>
      <c r="AG125" s="315">
        <f t="shared" si="35"/>
        <v>0</v>
      </c>
      <c r="AH125" s="315">
        <f t="shared" si="35"/>
        <v>0</v>
      </c>
      <c r="AI125" s="315">
        <f t="shared" si="35"/>
        <v>0</v>
      </c>
      <c r="AJ125" s="315">
        <f t="shared" si="35"/>
        <v>0</v>
      </c>
      <c r="AK125" s="315">
        <f t="shared" si="35"/>
        <v>0</v>
      </c>
      <c r="AL125" s="315">
        <f t="shared" si="35"/>
        <v>0</v>
      </c>
      <c r="AM125" s="315">
        <f t="shared" si="35"/>
        <v>0</v>
      </c>
      <c r="AN125" s="315">
        <f t="shared" si="35"/>
        <v>0</v>
      </c>
      <c r="AO125" s="315">
        <f t="shared" si="35"/>
        <v>0</v>
      </c>
    </row>
    <row r="126" spans="3:43" x14ac:dyDescent="0.35">
      <c r="E126" s="78"/>
      <c r="F126" t="s">
        <v>161</v>
      </c>
      <c r="G126" t="s">
        <v>271</v>
      </c>
      <c r="H126" s="41"/>
      <c r="J126" s="315">
        <f t="shared" ref="J126" si="36" xml:space="preserve"> J115 + J49</f>
        <v>0</v>
      </c>
      <c r="K126" s="315">
        <f t="shared" ref="K126:AO126" si="37" xml:space="preserve"> K115 + K49</f>
        <v>0</v>
      </c>
      <c r="L126" s="315">
        <f t="shared" si="37"/>
        <v>0</v>
      </c>
      <c r="M126" s="315">
        <f t="shared" si="37"/>
        <v>0</v>
      </c>
      <c r="N126" s="315">
        <f t="shared" si="37"/>
        <v>0</v>
      </c>
      <c r="O126" s="315">
        <f t="shared" si="37"/>
        <v>0</v>
      </c>
      <c r="P126" s="315">
        <f t="shared" si="37"/>
        <v>0</v>
      </c>
      <c r="Q126" s="315">
        <f t="shared" si="37"/>
        <v>0</v>
      </c>
      <c r="R126" s="315">
        <f t="shared" si="37"/>
        <v>7.1725728517083365</v>
      </c>
      <c r="S126" s="315">
        <f t="shared" si="37"/>
        <v>7.1725728517083365</v>
      </c>
      <c r="T126" s="315">
        <f t="shared" si="37"/>
        <v>7.1725728517083365</v>
      </c>
      <c r="U126" s="315">
        <f t="shared" si="37"/>
        <v>7.1725728517083365</v>
      </c>
      <c r="V126" s="315">
        <f t="shared" si="37"/>
        <v>7.1725728517083365</v>
      </c>
      <c r="W126" s="315">
        <f t="shared" si="37"/>
        <v>7.0570430446951793</v>
      </c>
      <c r="X126" s="315">
        <f t="shared" si="37"/>
        <v>7.0570430446951793</v>
      </c>
      <c r="Y126" s="315">
        <f t="shared" si="37"/>
        <v>7.0570430446951793</v>
      </c>
      <c r="Z126" s="315">
        <f t="shared" si="37"/>
        <v>7.0570430446951793</v>
      </c>
      <c r="AA126" s="315">
        <f t="shared" si="37"/>
        <v>7.0570430446951793</v>
      </c>
      <c r="AB126" s="315">
        <f t="shared" si="37"/>
        <v>7.7468803699975215</v>
      </c>
      <c r="AC126" s="315">
        <f t="shared" si="37"/>
        <v>7.7468803699975215</v>
      </c>
      <c r="AD126" s="315">
        <f t="shared" si="37"/>
        <v>7.7468803699975215</v>
      </c>
      <c r="AE126" s="315">
        <f t="shared" si="37"/>
        <v>7.7468803699975215</v>
      </c>
      <c r="AF126" s="315">
        <f t="shared" si="37"/>
        <v>7.7468803699975215</v>
      </c>
      <c r="AG126" s="315">
        <f t="shared" si="37"/>
        <v>0</v>
      </c>
      <c r="AH126" s="315">
        <f t="shared" si="37"/>
        <v>0</v>
      </c>
      <c r="AI126" s="315">
        <f t="shared" si="37"/>
        <v>0</v>
      </c>
      <c r="AJ126" s="315">
        <f t="shared" si="37"/>
        <v>0</v>
      </c>
      <c r="AK126" s="315">
        <f t="shared" si="37"/>
        <v>0</v>
      </c>
      <c r="AL126" s="315">
        <f t="shared" si="37"/>
        <v>0</v>
      </c>
      <c r="AM126" s="315">
        <f t="shared" si="37"/>
        <v>0</v>
      </c>
      <c r="AN126" s="315">
        <f t="shared" si="37"/>
        <v>0</v>
      </c>
      <c r="AO126" s="315">
        <f t="shared" si="37"/>
        <v>0</v>
      </c>
    </row>
    <row r="127" spans="3:43" x14ac:dyDescent="0.35">
      <c r="E127" s="78"/>
      <c r="F127" s="28" t="s">
        <v>162</v>
      </c>
      <c r="G127" s="28" t="s">
        <v>272</v>
      </c>
      <c r="H127" s="272"/>
      <c r="I127" s="258"/>
      <c r="J127" s="273">
        <f t="shared" ref="J127" si="38" xml:space="preserve"> J116 + J50</f>
        <v>0</v>
      </c>
      <c r="K127" s="273">
        <f t="shared" ref="K127:AO127" si="39" xml:space="preserve"> K116 + K50</f>
        <v>0</v>
      </c>
      <c r="L127" s="273">
        <f t="shared" si="39"/>
        <v>0</v>
      </c>
      <c r="M127" s="273">
        <f t="shared" si="39"/>
        <v>0</v>
      </c>
      <c r="N127" s="273">
        <f t="shared" si="39"/>
        <v>0</v>
      </c>
      <c r="O127" s="273">
        <f t="shared" si="39"/>
        <v>0</v>
      </c>
      <c r="P127" s="273">
        <f t="shared" si="39"/>
        <v>0</v>
      </c>
      <c r="Q127" s="273">
        <f t="shared" si="39"/>
        <v>0</v>
      </c>
      <c r="R127" s="273">
        <f t="shared" si="39"/>
        <v>0.24512613643318029</v>
      </c>
      <c r="S127" s="273">
        <f t="shared" si="39"/>
        <v>0.24512613643318029</v>
      </c>
      <c r="T127" s="273">
        <f t="shared" si="39"/>
        <v>0.24512613643318029</v>
      </c>
      <c r="U127" s="273">
        <f t="shared" si="39"/>
        <v>0.24512613643318029</v>
      </c>
      <c r="V127" s="273">
        <f t="shared" si="39"/>
        <v>0.24512613643318029</v>
      </c>
      <c r="W127" s="273">
        <f t="shared" si="39"/>
        <v>0.13673476998950587</v>
      </c>
      <c r="X127" s="273">
        <f t="shared" si="39"/>
        <v>0.13673476998950587</v>
      </c>
      <c r="Y127" s="273">
        <f t="shared" si="39"/>
        <v>0.13673476998950587</v>
      </c>
      <c r="Z127" s="273">
        <f t="shared" si="39"/>
        <v>0.13673476998950587</v>
      </c>
      <c r="AA127" s="273">
        <f t="shared" si="39"/>
        <v>0.13673476998950587</v>
      </c>
      <c r="AB127" s="273">
        <f t="shared" si="39"/>
        <v>0.10397606554030356</v>
      </c>
      <c r="AC127" s="273">
        <f t="shared" si="39"/>
        <v>0.10397606554030356</v>
      </c>
      <c r="AD127" s="273">
        <f t="shared" si="39"/>
        <v>0.10397606554030356</v>
      </c>
      <c r="AE127" s="273">
        <f t="shared" si="39"/>
        <v>0.10397606554030356</v>
      </c>
      <c r="AF127" s="273">
        <f t="shared" si="39"/>
        <v>0.10397606554030356</v>
      </c>
      <c r="AG127" s="273">
        <f t="shared" si="39"/>
        <v>0</v>
      </c>
      <c r="AH127" s="273">
        <f t="shared" si="39"/>
        <v>0</v>
      </c>
      <c r="AI127" s="273">
        <f t="shared" si="39"/>
        <v>0</v>
      </c>
      <c r="AJ127" s="273">
        <f t="shared" si="39"/>
        <v>0.25365596464299434</v>
      </c>
      <c r="AK127" s="273">
        <f t="shared" si="39"/>
        <v>0</v>
      </c>
      <c r="AL127" s="273">
        <f t="shared" si="39"/>
        <v>0.20991484341611574</v>
      </c>
      <c r="AM127" s="273">
        <f t="shared" si="39"/>
        <v>0</v>
      </c>
      <c r="AN127" s="273">
        <f t="shared" si="39"/>
        <v>0.18197756357782038</v>
      </c>
      <c r="AO127" s="273">
        <f t="shared" si="39"/>
        <v>0</v>
      </c>
      <c r="AP127" s="256"/>
      <c r="AQ127" s="256"/>
    </row>
    <row r="128" spans="3:43" x14ac:dyDescent="0.35">
      <c r="E128" s="27"/>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79"/>
      <c r="AJ128" s="79"/>
      <c r="AK128" s="79"/>
      <c r="AL128" s="79"/>
      <c r="AM128" s="79"/>
      <c r="AN128" s="79"/>
      <c r="AO128" s="79"/>
    </row>
    <row r="129" spans="3:43" x14ac:dyDescent="0.35">
      <c r="E129" s="27" t="s">
        <v>889</v>
      </c>
      <c r="I129" t="s">
        <v>154</v>
      </c>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Q129" t="s">
        <v>895</v>
      </c>
    </row>
    <row r="130" spans="3:43" x14ac:dyDescent="0.35">
      <c r="E130" s="78"/>
      <c r="F130" s="19" t="s">
        <v>156</v>
      </c>
      <c r="G130" s="19" t="s">
        <v>269</v>
      </c>
      <c r="H130" s="267"/>
      <c r="I130" s="255"/>
      <c r="J130" s="270">
        <f t="shared" ref="J130:J136" si="40" xml:space="preserve"> J110 * (1 - J75) + J44</f>
        <v>5.8607063335928915</v>
      </c>
      <c r="K130" s="270">
        <f t="shared" ref="K130:AJ130" si="41" xml:space="preserve"> K110 * (1 - K75) + K44</f>
        <v>5.8607063335928915</v>
      </c>
      <c r="L130" s="270">
        <f t="shared" si="41"/>
        <v>5.4821951858821913</v>
      </c>
      <c r="M130" s="270">
        <f t="shared" si="41"/>
        <v>5.4821951858821913</v>
      </c>
      <c r="N130" s="270">
        <f t="shared" si="41"/>
        <v>5.4821951858821913</v>
      </c>
      <c r="O130" s="270">
        <f t="shared" si="41"/>
        <v>5.4821951858821913</v>
      </c>
      <c r="P130" s="270">
        <f t="shared" si="41"/>
        <v>5.4821951858821913</v>
      </c>
      <c r="Q130" s="270">
        <f t="shared" si="41"/>
        <v>5.4821951858821913</v>
      </c>
      <c r="R130" s="270">
        <f t="shared" si="41"/>
        <v>4.2833310004737646</v>
      </c>
      <c r="S130" s="270">
        <f t="shared" si="41"/>
        <v>4.2833310004737646</v>
      </c>
      <c r="T130" s="270">
        <f t="shared" si="41"/>
        <v>4.2833310004737646</v>
      </c>
      <c r="U130" s="270">
        <f t="shared" si="41"/>
        <v>4.2833310004737646</v>
      </c>
      <c r="V130" s="270">
        <f t="shared" si="41"/>
        <v>4.2833310004737646</v>
      </c>
      <c r="W130" s="269"/>
      <c r="X130" s="269"/>
      <c r="Y130" s="269"/>
      <c r="Z130" s="269"/>
      <c r="AA130" s="269"/>
      <c r="AB130" s="269"/>
      <c r="AC130" s="269"/>
      <c r="AD130" s="269"/>
      <c r="AE130" s="269"/>
      <c r="AF130" s="269"/>
      <c r="AG130" s="270">
        <f t="shared" si="41"/>
        <v>17.225224068914351</v>
      </c>
      <c r="AH130" s="270">
        <f t="shared" si="41"/>
        <v>-6.4671088642966206</v>
      </c>
      <c r="AI130" s="269"/>
      <c r="AJ130" s="270">
        <f t="shared" si="41"/>
        <v>-6.4671088642966206</v>
      </c>
      <c r="AK130" s="269"/>
      <c r="AL130" s="269"/>
      <c r="AM130" s="269"/>
      <c r="AN130" s="269"/>
      <c r="AO130" s="269"/>
      <c r="AP130" s="256"/>
      <c r="AQ130" s="256"/>
    </row>
    <row r="131" spans="3:43" x14ac:dyDescent="0.35">
      <c r="E131" s="78"/>
      <c r="F131" t="s">
        <v>157</v>
      </c>
      <c r="G131" t="s">
        <v>269</v>
      </c>
      <c r="H131" s="268"/>
      <c r="I131" s="256"/>
      <c r="J131" s="314">
        <f t="shared" si="40"/>
        <v>0.74480869743059752</v>
      </c>
      <c r="K131" s="314">
        <f t="shared" ref="K131:AJ131" si="42" xml:space="preserve"> K111 * (1 - K76) + K45</f>
        <v>0.74480869743059752</v>
      </c>
      <c r="L131" s="314">
        <f t="shared" si="42"/>
        <v>0.69670555442316773</v>
      </c>
      <c r="M131" s="314">
        <f t="shared" si="42"/>
        <v>0.69670555442316773</v>
      </c>
      <c r="N131" s="314">
        <f t="shared" si="42"/>
        <v>0.69670555442316773</v>
      </c>
      <c r="O131" s="314">
        <f t="shared" si="42"/>
        <v>0.69670555442316773</v>
      </c>
      <c r="P131" s="314">
        <f t="shared" si="42"/>
        <v>0.69670555442316773</v>
      </c>
      <c r="Q131" s="314">
        <f t="shared" si="42"/>
        <v>0.69670555442316773</v>
      </c>
      <c r="R131" s="314">
        <f t="shared" si="42"/>
        <v>0.46866187937252818</v>
      </c>
      <c r="S131" s="314">
        <f t="shared" si="42"/>
        <v>0.46866187937252818</v>
      </c>
      <c r="T131" s="314">
        <f t="shared" si="42"/>
        <v>0.46866187937252818</v>
      </c>
      <c r="U131" s="314">
        <f t="shared" si="42"/>
        <v>0.46866187937252818</v>
      </c>
      <c r="V131" s="314">
        <f t="shared" si="42"/>
        <v>0.46866187937252818</v>
      </c>
      <c r="W131" s="257"/>
      <c r="X131" s="257"/>
      <c r="Y131" s="257"/>
      <c r="Z131" s="257"/>
      <c r="AA131" s="257"/>
      <c r="AB131" s="257"/>
      <c r="AC131" s="257"/>
      <c r="AD131" s="257"/>
      <c r="AE131" s="257"/>
      <c r="AF131" s="257"/>
      <c r="AG131" s="314">
        <f t="shared" si="42"/>
        <v>3.9063343311521699</v>
      </c>
      <c r="AH131" s="314">
        <f t="shared" si="42"/>
        <v>-0.82187344923759953</v>
      </c>
      <c r="AI131" s="257"/>
      <c r="AJ131" s="314">
        <f t="shared" si="42"/>
        <v>-0.82187344923759953</v>
      </c>
      <c r="AK131" s="257"/>
      <c r="AL131" s="257"/>
      <c r="AM131" s="257"/>
      <c r="AN131" s="257"/>
      <c r="AO131" s="257"/>
      <c r="AP131" s="256"/>
      <c r="AQ131" s="256"/>
    </row>
    <row r="132" spans="3:43" x14ac:dyDescent="0.35">
      <c r="E132" s="78"/>
      <c r="F132" t="s">
        <v>158</v>
      </c>
      <c r="G132" t="s">
        <v>269</v>
      </c>
      <c r="H132" s="268"/>
      <c r="I132" s="256"/>
      <c r="J132" s="314">
        <f t="shared" si="40"/>
        <v>3.5920897257789464E-2</v>
      </c>
      <c r="K132" s="314">
        <f t="shared" ref="K132:AJ132" si="43" xml:space="preserve"> K112 * (1 - K77) + K46</f>
        <v>3.5920897257789464E-2</v>
      </c>
      <c r="L132" s="314">
        <f t="shared" si="43"/>
        <v>3.3600961865375964E-2</v>
      </c>
      <c r="M132" s="314">
        <f t="shared" si="43"/>
        <v>3.3600961865375964E-2</v>
      </c>
      <c r="N132" s="314">
        <f t="shared" si="43"/>
        <v>3.3600961865375964E-2</v>
      </c>
      <c r="O132" s="314">
        <f t="shared" si="43"/>
        <v>3.3600961865375964E-2</v>
      </c>
      <c r="P132" s="314">
        <f t="shared" si="43"/>
        <v>3.3600961865375964E-2</v>
      </c>
      <c r="Q132" s="314">
        <f t="shared" si="43"/>
        <v>3.3600961865375964E-2</v>
      </c>
      <c r="R132" s="314">
        <f t="shared" si="43"/>
        <v>2.2237577673059759E-2</v>
      </c>
      <c r="S132" s="314">
        <f t="shared" si="43"/>
        <v>2.2237577673059759E-2</v>
      </c>
      <c r="T132" s="314">
        <f t="shared" si="43"/>
        <v>2.2237577673059759E-2</v>
      </c>
      <c r="U132" s="314">
        <f t="shared" si="43"/>
        <v>2.2237577673059759E-2</v>
      </c>
      <c r="V132" s="314">
        <f t="shared" si="43"/>
        <v>2.2237577673059759E-2</v>
      </c>
      <c r="W132" s="257"/>
      <c r="X132" s="257"/>
      <c r="Y132" s="257"/>
      <c r="Z132" s="257"/>
      <c r="AA132" s="257"/>
      <c r="AB132" s="257"/>
      <c r="AC132" s="257"/>
      <c r="AD132" s="257"/>
      <c r="AE132" s="257"/>
      <c r="AF132" s="257"/>
      <c r="AG132" s="314">
        <f t="shared" si="43"/>
        <v>3.2449915186311631</v>
      </c>
      <c r="AH132" s="314">
        <f t="shared" si="43"/>
        <v>-3.9637603361526004E-2</v>
      </c>
      <c r="AI132" s="257"/>
      <c r="AJ132" s="314">
        <f t="shared" si="43"/>
        <v>-3.9637603361526004E-2</v>
      </c>
      <c r="AK132" s="257"/>
      <c r="AL132" s="257"/>
      <c r="AM132" s="257"/>
      <c r="AN132" s="257"/>
      <c r="AO132" s="257"/>
      <c r="AP132" s="256"/>
      <c r="AQ132" s="256"/>
    </row>
    <row r="133" spans="3:43" x14ac:dyDescent="0.35">
      <c r="E133" s="78"/>
      <c r="F133" t="s">
        <v>159</v>
      </c>
      <c r="G133" t="s">
        <v>270</v>
      </c>
      <c r="H133" s="41"/>
      <c r="J133" s="315">
        <f t="shared" si="40"/>
        <v>16.607192664871729</v>
      </c>
      <c r="K133" s="315">
        <f t="shared" ref="K133:AJ133" si="44" xml:space="preserve"> K113 * (1 - K78) + K47</f>
        <v>0</v>
      </c>
      <c r="L133" s="315">
        <f t="shared" si="44"/>
        <v>6.5485278152089617</v>
      </c>
      <c r="M133" s="315">
        <f t="shared" si="44"/>
        <v>17.973164967387717</v>
      </c>
      <c r="N133" s="315">
        <f t="shared" si="44"/>
        <v>37.821504553717148</v>
      </c>
      <c r="O133" s="315">
        <f t="shared" si="44"/>
        <v>75.803174811091083</v>
      </c>
      <c r="P133" s="315">
        <f t="shared" si="44"/>
        <v>201.30647222411932</v>
      </c>
      <c r="Q133" s="315">
        <f t="shared" si="44"/>
        <v>0</v>
      </c>
      <c r="R133" s="315">
        <f t="shared" si="44"/>
        <v>14.871363459585357</v>
      </c>
      <c r="S133" s="315">
        <f t="shared" si="44"/>
        <v>363.39993934097589</v>
      </c>
      <c r="T133" s="315">
        <f t="shared" si="44"/>
        <v>599.63726044017756</v>
      </c>
      <c r="U133" s="315">
        <f t="shared" si="44"/>
        <v>1003.3835916624703</v>
      </c>
      <c r="V133" s="315">
        <f t="shared" si="44"/>
        <v>2517.1184078040828</v>
      </c>
      <c r="W133" s="69"/>
      <c r="X133" s="69"/>
      <c r="Y133" s="69"/>
      <c r="Z133" s="69"/>
      <c r="AA133" s="69"/>
      <c r="AB133" s="69"/>
      <c r="AC133" s="69"/>
      <c r="AD133" s="69"/>
      <c r="AE133" s="69"/>
      <c r="AF133" s="69"/>
      <c r="AG133" s="315">
        <f t="shared" si="44"/>
        <v>0</v>
      </c>
      <c r="AH133" s="315">
        <f t="shared" si="44"/>
        <v>0</v>
      </c>
      <c r="AI133" s="69"/>
      <c r="AJ133" s="315">
        <f t="shared" si="44"/>
        <v>0</v>
      </c>
      <c r="AK133" s="69"/>
      <c r="AL133" s="69"/>
      <c r="AM133" s="69"/>
      <c r="AN133" s="69"/>
      <c r="AO133" s="69"/>
    </row>
    <row r="134" spans="3:43" x14ac:dyDescent="0.35">
      <c r="E134" s="78"/>
      <c r="F134" t="s">
        <v>160</v>
      </c>
      <c r="G134" t="s">
        <v>271</v>
      </c>
      <c r="H134" s="41"/>
      <c r="J134" s="315">
        <f t="shared" si="40"/>
        <v>0</v>
      </c>
      <c r="K134" s="315">
        <f t="shared" ref="K134:AJ134" si="45" xml:space="preserve"> K114 * (1 - K79) + K48</f>
        <v>0</v>
      </c>
      <c r="L134" s="315">
        <f t="shared" si="45"/>
        <v>0</v>
      </c>
      <c r="M134" s="315">
        <f t="shared" si="45"/>
        <v>0</v>
      </c>
      <c r="N134" s="315">
        <f t="shared" si="45"/>
        <v>0</v>
      </c>
      <c r="O134" s="315">
        <f t="shared" si="45"/>
        <v>0</v>
      </c>
      <c r="P134" s="315">
        <f t="shared" si="45"/>
        <v>0</v>
      </c>
      <c r="Q134" s="315">
        <f t="shared" si="45"/>
        <v>0</v>
      </c>
      <c r="R134" s="315">
        <f t="shared" si="45"/>
        <v>2.5807792236701639</v>
      </c>
      <c r="S134" s="315">
        <f t="shared" si="45"/>
        <v>2.5807792236701639</v>
      </c>
      <c r="T134" s="315">
        <f t="shared" si="45"/>
        <v>2.5807792236701639</v>
      </c>
      <c r="U134" s="315">
        <f t="shared" si="45"/>
        <v>2.5807792236701639</v>
      </c>
      <c r="V134" s="315">
        <f t="shared" si="45"/>
        <v>2.5807792236701639</v>
      </c>
      <c r="W134" s="69"/>
      <c r="X134" s="69"/>
      <c r="Y134" s="69"/>
      <c r="Z134" s="69"/>
      <c r="AA134" s="69"/>
      <c r="AB134" s="69"/>
      <c r="AC134" s="69"/>
      <c r="AD134" s="69"/>
      <c r="AE134" s="69"/>
      <c r="AF134" s="69"/>
      <c r="AG134" s="315">
        <f t="shared" si="45"/>
        <v>0</v>
      </c>
      <c r="AH134" s="315">
        <f t="shared" si="45"/>
        <v>0</v>
      </c>
      <c r="AI134" s="69"/>
      <c r="AJ134" s="315">
        <f t="shared" si="45"/>
        <v>0</v>
      </c>
      <c r="AK134" s="69"/>
      <c r="AL134" s="69"/>
      <c r="AM134" s="69"/>
      <c r="AN134" s="69"/>
      <c r="AO134" s="69"/>
    </row>
    <row r="135" spans="3:43" x14ac:dyDescent="0.35">
      <c r="E135" s="78"/>
      <c r="F135" t="s">
        <v>161</v>
      </c>
      <c r="G135" t="s">
        <v>271</v>
      </c>
      <c r="H135" s="41"/>
      <c r="J135" s="315">
        <f t="shared" si="40"/>
        <v>0</v>
      </c>
      <c r="K135" s="315">
        <f t="shared" ref="K135:AJ135" si="46" xml:space="preserve"> K115 * (1 - K80) + K49</f>
        <v>0</v>
      </c>
      <c r="L135" s="315">
        <f t="shared" si="46"/>
        <v>0</v>
      </c>
      <c r="M135" s="315">
        <f t="shared" si="46"/>
        <v>0</v>
      </c>
      <c r="N135" s="315">
        <f t="shared" si="46"/>
        <v>0</v>
      </c>
      <c r="O135" s="315">
        <f t="shared" si="46"/>
        <v>0</v>
      </c>
      <c r="P135" s="315">
        <f t="shared" si="46"/>
        <v>0</v>
      </c>
      <c r="Q135" s="315">
        <f t="shared" si="46"/>
        <v>0</v>
      </c>
      <c r="R135" s="315">
        <f t="shared" si="46"/>
        <v>4.5117354517977111</v>
      </c>
      <c r="S135" s="315">
        <f t="shared" si="46"/>
        <v>4.5117354517977111</v>
      </c>
      <c r="T135" s="315">
        <f t="shared" si="46"/>
        <v>4.5117354517977111</v>
      </c>
      <c r="U135" s="315">
        <f t="shared" si="46"/>
        <v>4.5117354517977111</v>
      </c>
      <c r="V135" s="315">
        <f t="shared" si="46"/>
        <v>4.5117354517977111</v>
      </c>
      <c r="W135" s="69"/>
      <c r="X135" s="69"/>
      <c r="Y135" s="69"/>
      <c r="Z135" s="69"/>
      <c r="AA135" s="69"/>
      <c r="AB135" s="69"/>
      <c r="AC135" s="69"/>
      <c r="AD135" s="69"/>
      <c r="AE135" s="69"/>
      <c r="AF135" s="69"/>
      <c r="AG135" s="315">
        <f t="shared" si="46"/>
        <v>0</v>
      </c>
      <c r="AH135" s="315">
        <f t="shared" si="46"/>
        <v>0</v>
      </c>
      <c r="AI135" s="69"/>
      <c r="AJ135" s="315">
        <f t="shared" si="46"/>
        <v>0</v>
      </c>
      <c r="AK135" s="69"/>
      <c r="AL135" s="69"/>
      <c r="AM135" s="69"/>
      <c r="AN135" s="69"/>
      <c r="AO135" s="69"/>
    </row>
    <row r="136" spans="3:43" x14ac:dyDescent="0.35">
      <c r="E136" s="78"/>
      <c r="F136" s="28" t="s">
        <v>162</v>
      </c>
      <c r="G136" s="28" t="s">
        <v>272</v>
      </c>
      <c r="H136" s="272"/>
      <c r="I136" s="258"/>
      <c r="J136" s="273">
        <f t="shared" si="40"/>
        <v>0</v>
      </c>
      <c r="K136" s="273">
        <f t="shared" ref="K136:AJ136" si="47" xml:space="preserve"> K116 * (1 - K81) + K50</f>
        <v>0</v>
      </c>
      <c r="L136" s="273">
        <f t="shared" si="47"/>
        <v>0</v>
      </c>
      <c r="M136" s="273">
        <f t="shared" si="47"/>
        <v>0</v>
      </c>
      <c r="N136" s="273">
        <f t="shared" si="47"/>
        <v>0</v>
      </c>
      <c r="O136" s="273">
        <f t="shared" si="47"/>
        <v>0</v>
      </c>
      <c r="P136" s="273">
        <f t="shared" si="47"/>
        <v>0</v>
      </c>
      <c r="Q136" s="273">
        <f t="shared" si="47"/>
        <v>0</v>
      </c>
      <c r="R136" s="273">
        <f t="shared" si="47"/>
        <v>0.15419073500862002</v>
      </c>
      <c r="S136" s="273">
        <f t="shared" si="47"/>
        <v>0.15419073500862002</v>
      </c>
      <c r="T136" s="273">
        <f t="shared" si="47"/>
        <v>0.15419073500862002</v>
      </c>
      <c r="U136" s="273">
        <f t="shared" si="47"/>
        <v>0.15419073500862002</v>
      </c>
      <c r="V136" s="273">
        <f t="shared" si="47"/>
        <v>0.15419073500862002</v>
      </c>
      <c r="W136" s="259"/>
      <c r="X136" s="259"/>
      <c r="Y136" s="259"/>
      <c r="Z136" s="259"/>
      <c r="AA136" s="259"/>
      <c r="AB136" s="259"/>
      <c r="AC136" s="259"/>
      <c r="AD136" s="259"/>
      <c r="AE136" s="259"/>
      <c r="AF136" s="259"/>
      <c r="AG136" s="273">
        <f t="shared" si="47"/>
        <v>0</v>
      </c>
      <c r="AH136" s="273">
        <f t="shared" si="47"/>
        <v>0</v>
      </c>
      <c r="AI136" s="259"/>
      <c r="AJ136" s="273">
        <f t="shared" si="47"/>
        <v>0.25365596464299434</v>
      </c>
      <c r="AK136" s="259"/>
      <c r="AL136" s="259"/>
      <c r="AM136" s="259"/>
      <c r="AN136" s="259"/>
      <c r="AO136" s="259"/>
      <c r="AP136" s="256"/>
      <c r="AQ136" s="256"/>
    </row>
    <row r="137" spans="3:43" x14ac:dyDescent="0.35">
      <c r="E137" s="78"/>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35">
      <c r="E138" s="27" t="s">
        <v>890</v>
      </c>
      <c r="I138" t="s">
        <v>154</v>
      </c>
      <c r="J138" s="79"/>
      <c r="K138" s="79"/>
      <c r="L138" s="79"/>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79"/>
      <c r="AJ138" s="79"/>
      <c r="AK138" s="79"/>
      <c r="AL138" s="79"/>
      <c r="AM138" s="79"/>
      <c r="AN138" s="79"/>
      <c r="AO138" s="79"/>
      <c r="AQ138" t="s">
        <v>895</v>
      </c>
    </row>
    <row r="139" spans="3:43" x14ac:dyDescent="0.35">
      <c r="C139" s="78"/>
      <c r="F139" s="19" t="s">
        <v>156</v>
      </c>
      <c r="G139" s="19" t="s">
        <v>269</v>
      </c>
      <c r="H139" s="267"/>
      <c r="I139" s="255"/>
      <c r="J139" s="270">
        <f t="shared" ref="J139:J145" si="48">J110 * (1 - J84) + J44</f>
        <v>4.2365650117707476</v>
      </c>
      <c r="K139" s="270">
        <f t="shared" ref="K139:AN139" si="49">K110 * (1 - K84) + K44</f>
        <v>4.2365650117707476</v>
      </c>
      <c r="L139" s="270">
        <f t="shared" si="49"/>
        <v>3.962948318887713</v>
      </c>
      <c r="M139" s="270">
        <f t="shared" si="49"/>
        <v>3.962948318887713</v>
      </c>
      <c r="N139" s="270">
        <f t="shared" si="49"/>
        <v>3.962948318887713</v>
      </c>
      <c r="O139" s="270">
        <f t="shared" si="49"/>
        <v>3.962948318887713</v>
      </c>
      <c r="P139" s="270">
        <f t="shared" si="49"/>
        <v>3.962948318887713</v>
      </c>
      <c r="Q139" s="270">
        <f t="shared" si="49"/>
        <v>3.962948318887713</v>
      </c>
      <c r="R139" s="270">
        <f t="shared" si="49"/>
        <v>3.0963179551286966</v>
      </c>
      <c r="S139" s="270">
        <f t="shared" si="49"/>
        <v>3.0963179551286966</v>
      </c>
      <c r="T139" s="270">
        <f t="shared" si="49"/>
        <v>3.0963179551286966</v>
      </c>
      <c r="U139" s="270">
        <f t="shared" si="49"/>
        <v>3.0963179551286966</v>
      </c>
      <c r="V139" s="270">
        <f t="shared" si="49"/>
        <v>3.0963179551286966</v>
      </c>
      <c r="W139" s="270">
        <f t="shared" si="49"/>
        <v>3.365620078518083</v>
      </c>
      <c r="X139" s="270">
        <f t="shared" si="49"/>
        <v>3.365620078518083</v>
      </c>
      <c r="Y139" s="270">
        <f t="shared" si="49"/>
        <v>3.365620078518083</v>
      </c>
      <c r="Z139" s="270">
        <f t="shared" si="49"/>
        <v>3.365620078518083</v>
      </c>
      <c r="AA139" s="270">
        <f t="shared" si="49"/>
        <v>3.365620078518083</v>
      </c>
      <c r="AB139" s="270">
        <f t="shared" si="49"/>
        <v>3.0642850928606409</v>
      </c>
      <c r="AC139" s="270">
        <f t="shared" si="49"/>
        <v>3.0642850928606409</v>
      </c>
      <c r="AD139" s="270">
        <f t="shared" si="49"/>
        <v>3.0642850928606409</v>
      </c>
      <c r="AE139" s="270">
        <f t="shared" si="49"/>
        <v>3.0642850928606409</v>
      </c>
      <c r="AF139" s="270">
        <f t="shared" si="49"/>
        <v>3.0642850928606409</v>
      </c>
      <c r="AG139" s="270">
        <f t="shared" si="49"/>
        <v>12.451704189985623</v>
      </c>
      <c r="AH139" s="270">
        <f t="shared" si="49"/>
        <v>-6.4671088642966206</v>
      </c>
      <c r="AI139" s="270">
        <f t="shared" si="49"/>
        <v>-5.7431990235840562</v>
      </c>
      <c r="AJ139" s="270">
        <f t="shared" si="49"/>
        <v>-6.4671088642966206</v>
      </c>
      <c r="AK139" s="269"/>
      <c r="AL139" s="270">
        <f t="shared" si="49"/>
        <v>-5.7431990235840562</v>
      </c>
      <c r="AM139" s="269"/>
      <c r="AN139" s="270">
        <f t="shared" si="49"/>
        <v>-4.4077410438205549</v>
      </c>
      <c r="AO139" s="269"/>
      <c r="AP139" s="256"/>
      <c r="AQ139" s="256"/>
    </row>
    <row r="140" spans="3:43" x14ac:dyDescent="0.35">
      <c r="C140" s="78"/>
      <c r="F140" t="s">
        <v>157</v>
      </c>
      <c r="G140" t="s">
        <v>269</v>
      </c>
      <c r="H140" s="268"/>
      <c r="I140" s="256"/>
      <c r="J140" s="314">
        <f t="shared" si="48"/>
        <v>0.53840446669549913</v>
      </c>
      <c r="K140" s="314">
        <f t="shared" ref="K140:AN140" si="50">K111 * (1 - K85) + K45</f>
        <v>0.53840446669549913</v>
      </c>
      <c r="L140" s="314">
        <f t="shared" si="50"/>
        <v>0.50363185038927527</v>
      </c>
      <c r="M140" s="314">
        <f t="shared" si="50"/>
        <v>0.50363185038927527</v>
      </c>
      <c r="N140" s="314">
        <f t="shared" si="50"/>
        <v>0.50363185038927527</v>
      </c>
      <c r="O140" s="314">
        <f t="shared" si="50"/>
        <v>0.50363185038927527</v>
      </c>
      <c r="P140" s="314">
        <f t="shared" si="50"/>
        <v>0.50363185038927527</v>
      </c>
      <c r="Q140" s="314">
        <f t="shared" si="50"/>
        <v>0.50363185038927527</v>
      </c>
      <c r="R140" s="314">
        <f t="shared" si="50"/>
        <v>0.33878450949156491</v>
      </c>
      <c r="S140" s="314">
        <f t="shared" si="50"/>
        <v>0.33878450949156491</v>
      </c>
      <c r="T140" s="314">
        <f t="shared" si="50"/>
        <v>0.33878450949156491</v>
      </c>
      <c r="U140" s="314">
        <f t="shared" si="50"/>
        <v>0.33878450949156491</v>
      </c>
      <c r="V140" s="314">
        <f t="shared" si="50"/>
        <v>0.33878450949156491</v>
      </c>
      <c r="W140" s="314">
        <f t="shared" si="50"/>
        <v>0.25185840097884582</v>
      </c>
      <c r="X140" s="314">
        <f t="shared" si="50"/>
        <v>0.25185840097884582</v>
      </c>
      <c r="Y140" s="314">
        <f t="shared" si="50"/>
        <v>0.25185840097884582</v>
      </c>
      <c r="Z140" s="314">
        <f t="shared" si="50"/>
        <v>0.25185840097884582</v>
      </c>
      <c r="AA140" s="314">
        <f t="shared" si="50"/>
        <v>0.25185840097884582</v>
      </c>
      <c r="AB140" s="314">
        <f t="shared" si="50"/>
        <v>0.20339877650749669</v>
      </c>
      <c r="AC140" s="314">
        <f t="shared" si="50"/>
        <v>0.20339877650749669</v>
      </c>
      <c r="AD140" s="314">
        <f t="shared" si="50"/>
        <v>0.20339877650749669</v>
      </c>
      <c r="AE140" s="314">
        <f t="shared" si="50"/>
        <v>0.20339877650749669</v>
      </c>
      <c r="AF140" s="314">
        <f t="shared" si="50"/>
        <v>0.20339877650749669</v>
      </c>
      <c r="AG140" s="314">
        <f t="shared" si="50"/>
        <v>2.8237960425996258</v>
      </c>
      <c r="AH140" s="314">
        <f t="shared" si="50"/>
        <v>-0.82187344923759953</v>
      </c>
      <c r="AI140" s="314">
        <f t="shared" si="50"/>
        <v>-0.66738501200260569</v>
      </c>
      <c r="AJ140" s="314">
        <f t="shared" si="50"/>
        <v>-0.82187344923759953</v>
      </c>
      <c r="AK140" s="257"/>
      <c r="AL140" s="314">
        <f t="shared" si="50"/>
        <v>-0.66738501200260569</v>
      </c>
      <c r="AM140" s="257"/>
      <c r="AN140" s="314">
        <f t="shared" si="50"/>
        <v>-0.32883259082754929</v>
      </c>
      <c r="AO140" s="257"/>
      <c r="AP140" s="256"/>
      <c r="AQ140" s="256"/>
    </row>
    <row r="141" spans="3:43" x14ac:dyDescent="0.35">
      <c r="C141" s="78"/>
      <c r="F141" t="s">
        <v>158</v>
      </c>
      <c r="G141" t="s">
        <v>269</v>
      </c>
      <c r="H141" s="268"/>
      <c r="I141" s="256"/>
      <c r="J141" s="314">
        <f t="shared" si="48"/>
        <v>2.596636102400789E-2</v>
      </c>
      <c r="K141" s="314">
        <f t="shared" ref="K141:AN141" si="51">K112 * (1 - K86) + K46</f>
        <v>2.596636102400789E-2</v>
      </c>
      <c r="L141" s="314">
        <f t="shared" si="51"/>
        <v>2.4289334987618465E-2</v>
      </c>
      <c r="M141" s="314">
        <f t="shared" si="51"/>
        <v>2.4289334987618465E-2</v>
      </c>
      <c r="N141" s="314">
        <f t="shared" si="51"/>
        <v>2.4289334987618465E-2</v>
      </c>
      <c r="O141" s="314">
        <f t="shared" si="51"/>
        <v>2.4289334987618465E-2</v>
      </c>
      <c r="P141" s="314">
        <f t="shared" si="51"/>
        <v>2.4289334987618465E-2</v>
      </c>
      <c r="Q141" s="314">
        <f t="shared" si="51"/>
        <v>2.4289334987618465E-2</v>
      </c>
      <c r="R141" s="314">
        <f t="shared" si="51"/>
        <v>1.6075015220642107E-2</v>
      </c>
      <c r="S141" s="314">
        <f t="shared" si="51"/>
        <v>1.6075015220642107E-2</v>
      </c>
      <c r="T141" s="314">
        <f t="shared" si="51"/>
        <v>1.6075015220642107E-2</v>
      </c>
      <c r="U141" s="314">
        <f t="shared" si="51"/>
        <v>1.6075015220642107E-2</v>
      </c>
      <c r="V141" s="314">
        <f t="shared" si="51"/>
        <v>1.6075015220642107E-2</v>
      </c>
      <c r="W141" s="314">
        <f t="shared" si="51"/>
        <v>1.1298115046143959E-2</v>
      </c>
      <c r="X141" s="314">
        <f t="shared" si="51"/>
        <v>1.1298115046143959E-2</v>
      </c>
      <c r="Y141" s="314">
        <f t="shared" si="51"/>
        <v>1.1298115046143959E-2</v>
      </c>
      <c r="Z141" s="314">
        <f t="shared" si="51"/>
        <v>1.1298115046143959E-2</v>
      </c>
      <c r="AA141" s="314">
        <f t="shared" si="51"/>
        <v>1.1298115046143959E-2</v>
      </c>
      <c r="AB141" s="314">
        <f t="shared" si="51"/>
        <v>8.947709727578702E-3</v>
      </c>
      <c r="AC141" s="314">
        <f t="shared" si="51"/>
        <v>8.947709727578702E-3</v>
      </c>
      <c r="AD141" s="314">
        <f t="shared" si="51"/>
        <v>8.947709727578702E-3</v>
      </c>
      <c r="AE141" s="314">
        <f t="shared" si="51"/>
        <v>8.947709727578702E-3</v>
      </c>
      <c r="AF141" s="314">
        <f t="shared" si="51"/>
        <v>8.947709727578702E-3</v>
      </c>
      <c r="AG141" s="314">
        <f t="shared" si="51"/>
        <v>2.3457270760225359</v>
      </c>
      <c r="AH141" s="314">
        <f t="shared" si="51"/>
        <v>-3.9637603361526004E-2</v>
      </c>
      <c r="AI141" s="314">
        <f t="shared" si="51"/>
        <v>-3.1885340997794977E-2</v>
      </c>
      <c r="AJ141" s="314">
        <f t="shared" si="51"/>
        <v>-3.9637603361526004E-2</v>
      </c>
      <c r="AK141" s="257"/>
      <c r="AL141" s="314">
        <f t="shared" si="51"/>
        <v>-3.1885340997794977E-2</v>
      </c>
      <c r="AM141" s="257"/>
      <c r="AN141" s="314">
        <f t="shared" si="51"/>
        <v>-1.4744214024831974E-2</v>
      </c>
      <c r="AO141" s="257"/>
      <c r="AP141" s="256"/>
      <c r="AQ141" s="256"/>
    </row>
    <row r="142" spans="3:43" x14ac:dyDescent="0.35">
      <c r="C142" s="78"/>
      <c r="F142" t="s">
        <v>159</v>
      </c>
      <c r="G142" t="s">
        <v>270</v>
      </c>
      <c r="H142" s="41"/>
      <c r="J142" s="315">
        <f t="shared" si="48"/>
        <v>12.213160939943796</v>
      </c>
      <c r="K142" s="315">
        <f t="shared" ref="K142:AN142" si="52">K113 * (1 - K87) + K47</f>
        <v>0</v>
      </c>
      <c r="L142" s="315">
        <f t="shared" si="52"/>
        <v>4.8790422115320071</v>
      </c>
      <c r="M142" s="315">
        <f t="shared" si="52"/>
        <v>13.137640284202279</v>
      </c>
      <c r="N142" s="315">
        <f t="shared" si="52"/>
        <v>27.485532201461528</v>
      </c>
      <c r="O142" s="315">
        <f t="shared" si="52"/>
        <v>54.941576941099164</v>
      </c>
      <c r="P142" s="315">
        <f t="shared" si="52"/>
        <v>145.66492126467227</v>
      </c>
      <c r="Q142" s="315">
        <f t="shared" si="52"/>
        <v>0</v>
      </c>
      <c r="R142" s="315">
        <f t="shared" si="52"/>
        <v>10.895421856349884</v>
      </c>
      <c r="S142" s="315">
        <f t="shared" si="52"/>
        <v>262.83842772202365</v>
      </c>
      <c r="T142" s="315">
        <f t="shared" si="52"/>
        <v>433.60876018291822</v>
      </c>
      <c r="U142" s="315">
        <f t="shared" si="52"/>
        <v>725.46736614698</v>
      </c>
      <c r="V142" s="315">
        <f t="shared" si="52"/>
        <v>1819.7102089261855</v>
      </c>
      <c r="W142" s="315">
        <f t="shared" si="52"/>
        <v>43.846959552533406</v>
      </c>
      <c r="X142" s="315">
        <f t="shared" si="52"/>
        <v>454.12994812977831</v>
      </c>
      <c r="Y142" s="315">
        <f t="shared" si="52"/>
        <v>732.22523448887284</v>
      </c>
      <c r="Z142" s="315">
        <f t="shared" si="52"/>
        <v>1207.5097961121751</v>
      </c>
      <c r="AA142" s="315">
        <f t="shared" si="52"/>
        <v>2989.4573529499899</v>
      </c>
      <c r="AB142" s="315">
        <f t="shared" si="52"/>
        <v>177.99384908406293</v>
      </c>
      <c r="AC142" s="315">
        <f t="shared" si="52"/>
        <v>2834.6502468719386</v>
      </c>
      <c r="AD142" s="315">
        <f t="shared" si="52"/>
        <v>7061.839030749531</v>
      </c>
      <c r="AE142" s="315">
        <f t="shared" si="52"/>
        <v>13662.297908541061</v>
      </c>
      <c r="AF142" s="315">
        <f t="shared" si="52"/>
        <v>34872.995399583524</v>
      </c>
      <c r="AG142" s="315">
        <f t="shared" si="52"/>
        <v>0</v>
      </c>
      <c r="AH142" s="315">
        <f t="shared" si="52"/>
        <v>0</v>
      </c>
      <c r="AI142" s="315">
        <f t="shared" si="52"/>
        <v>0</v>
      </c>
      <c r="AJ142" s="315">
        <f t="shared" si="52"/>
        <v>0</v>
      </c>
      <c r="AK142" s="69"/>
      <c r="AL142" s="315">
        <f t="shared" si="52"/>
        <v>0</v>
      </c>
      <c r="AM142" s="69"/>
      <c r="AN142" s="315">
        <f t="shared" si="52"/>
        <v>0</v>
      </c>
      <c r="AO142" s="69"/>
    </row>
    <row r="143" spans="3:43" x14ac:dyDescent="0.35">
      <c r="C143" s="78"/>
      <c r="F143" t="s">
        <v>160</v>
      </c>
      <c r="G143" t="s">
        <v>271</v>
      </c>
      <c r="H143" s="41"/>
      <c r="J143" s="315">
        <f t="shared" si="48"/>
        <v>0</v>
      </c>
      <c r="K143" s="315">
        <f t="shared" ref="K143:AN143" si="53">K114 * (1 - K88) + K48</f>
        <v>0</v>
      </c>
      <c r="L143" s="315">
        <f t="shared" si="53"/>
        <v>0</v>
      </c>
      <c r="M143" s="315">
        <f t="shared" si="53"/>
        <v>0</v>
      </c>
      <c r="N143" s="315">
        <f t="shared" si="53"/>
        <v>0</v>
      </c>
      <c r="O143" s="315">
        <f t="shared" si="53"/>
        <v>0</v>
      </c>
      <c r="P143" s="315">
        <f t="shared" si="53"/>
        <v>0</v>
      </c>
      <c r="Q143" s="315">
        <f t="shared" si="53"/>
        <v>0</v>
      </c>
      <c r="R143" s="315">
        <f t="shared" si="53"/>
        <v>1.8655838289380811</v>
      </c>
      <c r="S143" s="315">
        <f t="shared" si="53"/>
        <v>1.8655838289380811</v>
      </c>
      <c r="T143" s="315">
        <f t="shared" si="53"/>
        <v>1.8655838289380811</v>
      </c>
      <c r="U143" s="315">
        <f t="shared" si="53"/>
        <v>1.8655838289380811</v>
      </c>
      <c r="V143" s="315">
        <f t="shared" si="53"/>
        <v>1.8655838289380811</v>
      </c>
      <c r="W143" s="315">
        <f t="shared" si="53"/>
        <v>4.0779692106490302</v>
      </c>
      <c r="X143" s="315">
        <f t="shared" si="53"/>
        <v>4.0779692106490302</v>
      </c>
      <c r="Y143" s="315">
        <f t="shared" si="53"/>
        <v>4.0779692106490302</v>
      </c>
      <c r="Z143" s="315">
        <f t="shared" si="53"/>
        <v>4.0779692106490302</v>
      </c>
      <c r="AA143" s="315">
        <f t="shared" si="53"/>
        <v>4.0779692106490302</v>
      </c>
      <c r="AB143" s="315">
        <f t="shared" si="53"/>
        <v>5.5114314952868488</v>
      </c>
      <c r="AC143" s="315">
        <f t="shared" si="53"/>
        <v>5.5114314952868488</v>
      </c>
      <c r="AD143" s="315">
        <f t="shared" si="53"/>
        <v>5.5114314952868488</v>
      </c>
      <c r="AE143" s="315">
        <f t="shared" si="53"/>
        <v>5.5114314952868488</v>
      </c>
      <c r="AF143" s="315">
        <f t="shared" si="53"/>
        <v>5.5114314952868488</v>
      </c>
      <c r="AG143" s="315">
        <f t="shared" si="53"/>
        <v>0</v>
      </c>
      <c r="AH143" s="315">
        <f t="shared" si="53"/>
        <v>0</v>
      </c>
      <c r="AI143" s="315">
        <f t="shared" si="53"/>
        <v>0</v>
      </c>
      <c r="AJ143" s="315">
        <f t="shared" si="53"/>
        <v>0</v>
      </c>
      <c r="AK143" s="69"/>
      <c r="AL143" s="315">
        <f t="shared" si="53"/>
        <v>0</v>
      </c>
      <c r="AM143" s="69"/>
      <c r="AN143" s="315">
        <f t="shared" si="53"/>
        <v>0</v>
      </c>
      <c r="AO143" s="69"/>
    </row>
    <row r="144" spans="3:43" x14ac:dyDescent="0.35">
      <c r="C144" s="78"/>
      <c r="F144" t="s">
        <v>161</v>
      </c>
      <c r="G144" t="s">
        <v>271</v>
      </c>
      <c r="H144" s="41"/>
      <c r="J144" s="315">
        <f t="shared" si="48"/>
        <v>0</v>
      </c>
      <c r="K144" s="315">
        <f t="shared" ref="K144:AN144" si="54">K115 * (1 - K89) + K49</f>
        <v>0</v>
      </c>
      <c r="L144" s="315">
        <f t="shared" si="54"/>
        <v>0</v>
      </c>
      <c r="M144" s="315">
        <f t="shared" si="54"/>
        <v>0</v>
      </c>
      <c r="N144" s="315">
        <f t="shared" si="54"/>
        <v>0</v>
      </c>
      <c r="O144" s="315">
        <f t="shared" si="54"/>
        <v>0</v>
      </c>
      <c r="P144" s="315">
        <f t="shared" si="54"/>
        <v>0</v>
      </c>
      <c r="Q144" s="315">
        <f t="shared" si="54"/>
        <v>0</v>
      </c>
      <c r="R144" s="315">
        <f t="shared" si="54"/>
        <v>3.2614260926010123</v>
      </c>
      <c r="S144" s="315">
        <f t="shared" si="54"/>
        <v>3.2614260926010123</v>
      </c>
      <c r="T144" s="315">
        <f t="shared" si="54"/>
        <v>3.2614260926010123</v>
      </c>
      <c r="U144" s="315">
        <f t="shared" si="54"/>
        <v>3.2614260926010123</v>
      </c>
      <c r="V144" s="315">
        <f t="shared" si="54"/>
        <v>3.2614260926010123</v>
      </c>
      <c r="W144" s="315">
        <f t="shared" si="54"/>
        <v>5.2256045788433818</v>
      </c>
      <c r="X144" s="315">
        <f t="shared" si="54"/>
        <v>5.2256045788433818</v>
      </c>
      <c r="Y144" s="315">
        <f t="shared" si="54"/>
        <v>5.2256045788433818</v>
      </c>
      <c r="Z144" s="315">
        <f t="shared" si="54"/>
        <v>5.2256045788433818</v>
      </c>
      <c r="AA144" s="315">
        <f t="shared" si="54"/>
        <v>5.2256045788433818</v>
      </c>
      <c r="AB144" s="315">
        <f t="shared" si="54"/>
        <v>6.5737899971026739</v>
      </c>
      <c r="AC144" s="315">
        <f t="shared" si="54"/>
        <v>6.5737899971026739</v>
      </c>
      <c r="AD144" s="315">
        <f t="shared" si="54"/>
        <v>6.5737899971026739</v>
      </c>
      <c r="AE144" s="315">
        <f t="shared" si="54"/>
        <v>6.5737899971026739</v>
      </c>
      <c r="AF144" s="315">
        <f t="shared" si="54"/>
        <v>6.5737899971026739</v>
      </c>
      <c r="AG144" s="315">
        <f t="shared" si="54"/>
        <v>0</v>
      </c>
      <c r="AH144" s="315">
        <f t="shared" si="54"/>
        <v>0</v>
      </c>
      <c r="AI144" s="315">
        <f t="shared" si="54"/>
        <v>0</v>
      </c>
      <c r="AJ144" s="315">
        <f t="shared" si="54"/>
        <v>0</v>
      </c>
      <c r="AK144" s="69"/>
      <c r="AL144" s="315">
        <f t="shared" si="54"/>
        <v>0</v>
      </c>
      <c r="AM144" s="69"/>
      <c r="AN144" s="315">
        <f t="shared" si="54"/>
        <v>0</v>
      </c>
      <c r="AO144" s="69"/>
    </row>
    <row r="145" spans="1:43" x14ac:dyDescent="0.35">
      <c r="C145" s="78"/>
      <c r="F145" s="28" t="s">
        <v>162</v>
      </c>
      <c r="G145" s="28" t="s">
        <v>272</v>
      </c>
      <c r="H145" s="272"/>
      <c r="I145" s="258"/>
      <c r="J145" s="273">
        <f t="shared" si="48"/>
        <v>0</v>
      </c>
      <c r="K145" s="273">
        <f t="shared" ref="K145:AN145" si="55">K116 * (1 - K90) + K50</f>
        <v>0</v>
      </c>
      <c r="L145" s="273">
        <f t="shared" si="55"/>
        <v>0</v>
      </c>
      <c r="M145" s="273">
        <f t="shared" si="55"/>
        <v>0</v>
      </c>
      <c r="N145" s="273">
        <f t="shared" si="55"/>
        <v>0</v>
      </c>
      <c r="O145" s="273">
        <f t="shared" si="55"/>
        <v>0</v>
      </c>
      <c r="P145" s="273">
        <f t="shared" si="55"/>
        <v>0</v>
      </c>
      <c r="Q145" s="273">
        <f t="shared" si="55"/>
        <v>0</v>
      </c>
      <c r="R145" s="273">
        <f t="shared" si="55"/>
        <v>0.11146080965231846</v>
      </c>
      <c r="S145" s="273">
        <f t="shared" si="55"/>
        <v>0.11146080965231846</v>
      </c>
      <c r="T145" s="273">
        <f t="shared" si="55"/>
        <v>0.11146080965231846</v>
      </c>
      <c r="U145" s="273">
        <f t="shared" si="55"/>
        <v>0.11146080965231846</v>
      </c>
      <c r="V145" s="273">
        <f t="shared" si="55"/>
        <v>0.11146080965231846</v>
      </c>
      <c r="W145" s="273">
        <f t="shared" si="55"/>
        <v>0.10124946604674161</v>
      </c>
      <c r="X145" s="273">
        <f t="shared" si="55"/>
        <v>0.10124946604674161</v>
      </c>
      <c r="Y145" s="273">
        <f t="shared" si="55"/>
        <v>0.10124946604674161</v>
      </c>
      <c r="Z145" s="273">
        <f t="shared" si="55"/>
        <v>0.10124946604674161</v>
      </c>
      <c r="AA145" s="273">
        <f t="shared" si="55"/>
        <v>0.10124946604674161</v>
      </c>
      <c r="AB145" s="273">
        <f t="shared" si="55"/>
        <v>8.8231234631438907E-2</v>
      </c>
      <c r="AC145" s="273">
        <f t="shared" si="55"/>
        <v>8.8231234631438907E-2</v>
      </c>
      <c r="AD145" s="273">
        <f t="shared" si="55"/>
        <v>8.8231234631438907E-2</v>
      </c>
      <c r="AE145" s="273">
        <f t="shared" si="55"/>
        <v>8.8231234631438907E-2</v>
      </c>
      <c r="AF145" s="273">
        <f t="shared" si="55"/>
        <v>8.8231234631438907E-2</v>
      </c>
      <c r="AG145" s="273">
        <f t="shared" si="55"/>
        <v>0</v>
      </c>
      <c r="AH145" s="273">
        <f t="shared" si="55"/>
        <v>0</v>
      </c>
      <c r="AI145" s="273">
        <f t="shared" si="55"/>
        <v>0</v>
      </c>
      <c r="AJ145" s="273">
        <f t="shared" si="55"/>
        <v>0.25365596464299434</v>
      </c>
      <c r="AK145" s="259"/>
      <c r="AL145" s="273">
        <f t="shared" si="55"/>
        <v>0.20991484341611574</v>
      </c>
      <c r="AM145" s="259"/>
      <c r="AN145" s="273">
        <f t="shared" si="55"/>
        <v>0.18197756357782038</v>
      </c>
      <c r="AO145" s="259"/>
      <c r="AP145" s="256"/>
      <c r="AQ145" s="256"/>
    </row>
    <row r="146" spans="1:43" x14ac:dyDescent="0.35">
      <c r="A146" s="256"/>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c r="AA146" s="256"/>
      <c r="AB146" s="256"/>
      <c r="AC146" s="256"/>
      <c r="AD146" s="256"/>
      <c r="AE146" s="256"/>
      <c r="AF146" s="256"/>
      <c r="AG146" s="256"/>
      <c r="AH146" s="256"/>
      <c r="AI146" s="256"/>
      <c r="AJ146" s="256"/>
      <c r="AK146" s="256"/>
      <c r="AL146" s="256"/>
      <c r="AM146" s="256"/>
      <c r="AN146" s="256"/>
      <c r="AO146" s="256"/>
      <c r="AP146" s="256"/>
      <c r="AQ146" s="256"/>
    </row>
    <row r="147" spans="1:43" x14ac:dyDescent="0.35">
      <c r="C147" s="26" t="str">
        <f ca="1">INDEX('Version control'!$H$38:$H$61,MATCH($A$1,'Version control'!$F$38:$F$61,0),1)&amp;"-H: Tariff forecast, post-rounding"</f>
        <v>Section 117-H: Tariff forecast, post-rounding</v>
      </c>
      <c r="D147" s="26"/>
      <c r="E147" s="26"/>
      <c r="F147" s="26"/>
      <c r="G147" s="26"/>
      <c r="H147" s="26"/>
      <c r="I147" s="26"/>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26"/>
      <c r="AQ147" s="26"/>
    </row>
    <row r="148" spans="1:43" x14ac:dyDescent="0.35">
      <c r="J148" s="79"/>
      <c r="K148" s="79"/>
      <c r="L148" s="79"/>
      <c r="M148" s="79"/>
      <c r="N148" s="79"/>
      <c r="O148" s="79"/>
      <c r="P148" s="79"/>
      <c r="Q148" s="79"/>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row>
    <row r="149" spans="1:43" x14ac:dyDescent="0.35">
      <c r="E149" s="27" t="s">
        <v>753</v>
      </c>
      <c r="F149" s="27"/>
      <c r="I149" t="s">
        <v>154</v>
      </c>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Q149" t="s">
        <v>155</v>
      </c>
    </row>
    <row r="150" spans="1:43" x14ac:dyDescent="0.35">
      <c r="E150" s="78"/>
      <c r="F150" s="19" t="s">
        <v>156</v>
      </c>
      <c r="G150" s="19" t="s">
        <v>269</v>
      </c>
      <c r="H150" s="267"/>
      <c r="I150" s="255"/>
      <c r="J150" s="260">
        <f t="shared" ref="J150" si="56">ROUND(J121, $H95)</f>
        <v>9.3170000000000002</v>
      </c>
      <c r="K150" s="260">
        <f t="shared" ref="K150:AO150" si="57">ROUND(K121, $H95)</f>
        <v>9.3170000000000002</v>
      </c>
      <c r="L150" s="260">
        <f t="shared" si="57"/>
        <v>8.7149999999999999</v>
      </c>
      <c r="M150" s="260">
        <f t="shared" si="57"/>
        <v>8.7149999999999999</v>
      </c>
      <c r="N150" s="260">
        <f t="shared" si="57"/>
        <v>8.7149999999999999</v>
      </c>
      <c r="O150" s="260">
        <f t="shared" si="57"/>
        <v>8.7149999999999999</v>
      </c>
      <c r="P150" s="260">
        <f t="shared" si="57"/>
        <v>8.7149999999999999</v>
      </c>
      <c r="Q150" s="260">
        <f t="shared" si="57"/>
        <v>8.7149999999999999</v>
      </c>
      <c r="R150" s="260">
        <f t="shared" si="57"/>
        <v>6.8090000000000002</v>
      </c>
      <c r="S150" s="260">
        <f t="shared" si="57"/>
        <v>6.8090000000000002</v>
      </c>
      <c r="T150" s="260">
        <f t="shared" si="57"/>
        <v>6.8090000000000002</v>
      </c>
      <c r="U150" s="260">
        <f t="shared" si="57"/>
        <v>6.8090000000000002</v>
      </c>
      <c r="V150" s="260">
        <f t="shared" si="57"/>
        <v>6.8090000000000002</v>
      </c>
      <c r="W150" s="260">
        <f t="shared" si="57"/>
        <v>4.5449999999999999</v>
      </c>
      <c r="X150" s="260">
        <f t="shared" si="57"/>
        <v>4.5449999999999999</v>
      </c>
      <c r="Y150" s="260">
        <f t="shared" si="57"/>
        <v>4.5449999999999999</v>
      </c>
      <c r="Z150" s="260">
        <f t="shared" si="57"/>
        <v>4.5449999999999999</v>
      </c>
      <c r="AA150" s="260">
        <f t="shared" si="57"/>
        <v>4.5449999999999999</v>
      </c>
      <c r="AB150" s="260">
        <f t="shared" si="57"/>
        <v>3.6110000000000002</v>
      </c>
      <c r="AC150" s="260">
        <f t="shared" si="57"/>
        <v>3.6110000000000002</v>
      </c>
      <c r="AD150" s="260">
        <f t="shared" si="57"/>
        <v>3.6110000000000002</v>
      </c>
      <c r="AE150" s="260">
        <f t="shared" si="57"/>
        <v>3.6110000000000002</v>
      </c>
      <c r="AF150" s="260">
        <f t="shared" si="57"/>
        <v>3.6110000000000002</v>
      </c>
      <c r="AG150" s="260">
        <f t="shared" si="57"/>
        <v>27.384</v>
      </c>
      <c r="AH150" s="260">
        <f t="shared" si="57"/>
        <v>-6.4669999999999996</v>
      </c>
      <c r="AI150" s="260">
        <f t="shared" si="57"/>
        <v>-5.7430000000000003</v>
      </c>
      <c r="AJ150" s="260">
        <f t="shared" si="57"/>
        <v>-6.4669999999999996</v>
      </c>
      <c r="AK150" s="260">
        <f t="shared" si="57"/>
        <v>-6.4669999999999996</v>
      </c>
      <c r="AL150" s="260">
        <f t="shared" si="57"/>
        <v>-5.7430000000000003</v>
      </c>
      <c r="AM150" s="260">
        <f t="shared" si="57"/>
        <v>-5.7430000000000003</v>
      </c>
      <c r="AN150" s="260">
        <f t="shared" si="57"/>
        <v>-4.4080000000000004</v>
      </c>
      <c r="AO150" s="260">
        <f t="shared" si="57"/>
        <v>-4.4080000000000004</v>
      </c>
      <c r="AP150" s="256"/>
      <c r="AQ150" s="256"/>
    </row>
    <row r="151" spans="1:43" x14ac:dyDescent="0.35">
      <c r="E151" s="78"/>
      <c r="F151" t="s">
        <v>157</v>
      </c>
      <c r="G151" t="s">
        <v>269</v>
      </c>
      <c r="H151" s="268"/>
      <c r="I151" s="256"/>
      <c r="J151" s="261">
        <f t="shared" ref="J151:J156" si="58">ROUND(J122, $H96)</f>
        <v>1.1839999999999999</v>
      </c>
      <c r="K151" s="261">
        <f t="shared" ref="K151:AO151" si="59">ROUND(K122, $H96)</f>
        <v>1.1839999999999999</v>
      </c>
      <c r="L151" s="261">
        <f t="shared" si="59"/>
        <v>1.1080000000000001</v>
      </c>
      <c r="M151" s="261">
        <f t="shared" si="59"/>
        <v>1.1080000000000001</v>
      </c>
      <c r="N151" s="261">
        <f t="shared" si="59"/>
        <v>1.1080000000000001</v>
      </c>
      <c r="O151" s="261">
        <f t="shared" si="59"/>
        <v>1.1080000000000001</v>
      </c>
      <c r="P151" s="261">
        <f t="shared" si="59"/>
        <v>1.1080000000000001</v>
      </c>
      <c r="Q151" s="261">
        <f t="shared" si="59"/>
        <v>1.1080000000000001</v>
      </c>
      <c r="R151" s="261">
        <f t="shared" si="59"/>
        <v>0.745</v>
      </c>
      <c r="S151" s="261">
        <f t="shared" si="59"/>
        <v>0.745</v>
      </c>
      <c r="T151" s="261">
        <f t="shared" si="59"/>
        <v>0.745</v>
      </c>
      <c r="U151" s="261">
        <f t="shared" si="59"/>
        <v>0.745</v>
      </c>
      <c r="V151" s="261">
        <f t="shared" si="59"/>
        <v>0.745</v>
      </c>
      <c r="W151" s="261">
        <f t="shared" si="59"/>
        <v>0.34</v>
      </c>
      <c r="X151" s="261">
        <f t="shared" si="59"/>
        <v>0.34</v>
      </c>
      <c r="Y151" s="261">
        <f t="shared" si="59"/>
        <v>0.34</v>
      </c>
      <c r="Z151" s="261">
        <f t="shared" si="59"/>
        <v>0.34</v>
      </c>
      <c r="AA151" s="261">
        <f t="shared" si="59"/>
        <v>0.34</v>
      </c>
      <c r="AB151" s="261">
        <f t="shared" si="59"/>
        <v>0.24</v>
      </c>
      <c r="AC151" s="261">
        <f t="shared" si="59"/>
        <v>0.24</v>
      </c>
      <c r="AD151" s="261">
        <f t="shared" si="59"/>
        <v>0.24</v>
      </c>
      <c r="AE151" s="261">
        <f t="shared" si="59"/>
        <v>0.24</v>
      </c>
      <c r="AF151" s="261">
        <f t="shared" si="59"/>
        <v>0.24</v>
      </c>
      <c r="AG151" s="261">
        <f t="shared" si="59"/>
        <v>6.21</v>
      </c>
      <c r="AH151" s="261">
        <f t="shared" si="59"/>
        <v>-0.82199999999999995</v>
      </c>
      <c r="AI151" s="261">
        <f t="shared" si="59"/>
        <v>-0.66700000000000004</v>
      </c>
      <c r="AJ151" s="261">
        <f t="shared" si="59"/>
        <v>-0.82199999999999995</v>
      </c>
      <c r="AK151" s="261">
        <f t="shared" si="59"/>
        <v>-0.82199999999999995</v>
      </c>
      <c r="AL151" s="261">
        <f t="shared" si="59"/>
        <v>-0.66700000000000004</v>
      </c>
      <c r="AM151" s="261">
        <f t="shared" si="59"/>
        <v>-0.66700000000000004</v>
      </c>
      <c r="AN151" s="261">
        <f t="shared" si="59"/>
        <v>-0.32900000000000001</v>
      </c>
      <c r="AO151" s="261">
        <f t="shared" si="59"/>
        <v>-0.32900000000000001</v>
      </c>
      <c r="AP151" s="256"/>
      <c r="AQ151" s="256"/>
    </row>
    <row r="152" spans="1:43" x14ac:dyDescent="0.35">
      <c r="E152" s="78"/>
      <c r="F152" t="s">
        <v>158</v>
      </c>
      <c r="G152" t="s">
        <v>269</v>
      </c>
      <c r="H152" s="268"/>
      <c r="I152" s="256"/>
      <c r="J152" s="261">
        <f t="shared" si="58"/>
        <v>5.7000000000000002E-2</v>
      </c>
      <c r="K152" s="261">
        <f t="shared" ref="K152:AO152" si="60">ROUND(K123, $H97)</f>
        <v>5.7000000000000002E-2</v>
      </c>
      <c r="L152" s="261">
        <f t="shared" si="60"/>
        <v>5.2999999999999999E-2</v>
      </c>
      <c r="M152" s="261">
        <f t="shared" si="60"/>
        <v>5.2999999999999999E-2</v>
      </c>
      <c r="N152" s="261">
        <f t="shared" si="60"/>
        <v>5.2999999999999999E-2</v>
      </c>
      <c r="O152" s="261">
        <f t="shared" si="60"/>
        <v>5.2999999999999999E-2</v>
      </c>
      <c r="P152" s="261">
        <f t="shared" si="60"/>
        <v>5.2999999999999999E-2</v>
      </c>
      <c r="Q152" s="261">
        <f t="shared" si="60"/>
        <v>5.2999999999999999E-2</v>
      </c>
      <c r="R152" s="261">
        <f t="shared" si="60"/>
        <v>3.5000000000000003E-2</v>
      </c>
      <c r="S152" s="261">
        <f t="shared" si="60"/>
        <v>3.5000000000000003E-2</v>
      </c>
      <c r="T152" s="261">
        <f t="shared" si="60"/>
        <v>3.5000000000000003E-2</v>
      </c>
      <c r="U152" s="261">
        <f t="shared" si="60"/>
        <v>3.5000000000000003E-2</v>
      </c>
      <c r="V152" s="261">
        <f t="shared" si="60"/>
        <v>3.5000000000000003E-2</v>
      </c>
      <c r="W152" s="261">
        <f t="shared" si="60"/>
        <v>1.4999999999999999E-2</v>
      </c>
      <c r="X152" s="261">
        <f t="shared" si="60"/>
        <v>1.4999999999999999E-2</v>
      </c>
      <c r="Y152" s="261">
        <f t="shared" si="60"/>
        <v>1.4999999999999999E-2</v>
      </c>
      <c r="Z152" s="261">
        <f t="shared" si="60"/>
        <v>1.4999999999999999E-2</v>
      </c>
      <c r="AA152" s="261">
        <f t="shared" si="60"/>
        <v>1.4999999999999999E-2</v>
      </c>
      <c r="AB152" s="261">
        <f t="shared" si="60"/>
        <v>1.0999999999999999E-2</v>
      </c>
      <c r="AC152" s="261">
        <f t="shared" si="60"/>
        <v>1.0999999999999999E-2</v>
      </c>
      <c r="AD152" s="261">
        <f t="shared" si="60"/>
        <v>1.0999999999999999E-2</v>
      </c>
      <c r="AE152" s="261">
        <f t="shared" si="60"/>
        <v>1.0999999999999999E-2</v>
      </c>
      <c r="AF152" s="261">
        <f t="shared" si="60"/>
        <v>1.0999999999999999E-2</v>
      </c>
      <c r="AG152" s="261">
        <f t="shared" si="60"/>
        <v>5.1589999999999998</v>
      </c>
      <c r="AH152" s="261">
        <f t="shared" si="60"/>
        <v>-0.04</v>
      </c>
      <c r="AI152" s="261">
        <f t="shared" si="60"/>
        <v>-3.2000000000000001E-2</v>
      </c>
      <c r="AJ152" s="261">
        <f t="shared" si="60"/>
        <v>-0.04</v>
      </c>
      <c r="AK152" s="261">
        <f t="shared" si="60"/>
        <v>-0.04</v>
      </c>
      <c r="AL152" s="261">
        <f t="shared" si="60"/>
        <v>-3.2000000000000001E-2</v>
      </c>
      <c r="AM152" s="261">
        <f t="shared" si="60"/>
        <v>-3.2000000000000001E-2</v>
      </c>
      <c r="AN152" s="261">
        <f t="shared" si="60"/>
        <v>-1.4999999999999999E-2</v>
      </c>
      <c r="AO152" s="261">
        <f t="shared" si="60"/>
        <v>-1.4999999999999999E-2</v>
      </c>
      <c r="AP152" s="256"/>
      <c r="AQ152" s="256"/>
    </row>
    <row r="153" spans="1:43" x14ac:dyDescent="0.35">
      <c r="E153" s="78"/>
      <c r="F153" t="s">
        <v>159</v>
      </c>
      <c r="G153" t="s">
        <v>270</v>
      </c>
      <c r="H153" s="41"/>
      <c r="J153" s="111">
        <f t="shared" si="58"/>
        <v>25.96</v>
      </c>
      <c r="K153" s="111">
        <f t="shared" ref="K153:AO153" si="61">ROUND(K124, $H98)</f>
        <v>0</v>
      </c>
      <c r="L153" s="111">
        <f t="shared" si="61"/>
        <v>10.1</v>
      </c>
      <c r="M153" s="111">
        <f t="shared" si="61"/>
        <v>28.26</v>
      </c>
      <c r="N153" s="111">
        <f t="shared" si="61"/>
        <v>59.82</v>
      </c>
      <c r="O153" s="111">
        <f t="shared" si="61"/>
        <v>120.2</v>
      </c>
      <c r="P153" s="111">
        <f t="shared" si="61"/>
        <v>319.72000000000003</v>
      </c>
      <c r="Q153" s="111">
        <f t="shared" si="61"/>
        <v>0</v>
      </c>
      <c r="R153" s="111">
        <f t="shared" si="61"/>
        <v>23.33</v>
      </c>
      <c r="S153" s="111">
        <f t="shared" si="61"/>
        <v>577.41</v>
      </c>
      <c r="T153" s="111">
        <f t="shared" si="61"/>
        <v>952.97</v>
      </c>
      <c r="U153" s="111">
        <f t="shared" si="61"/>
        <v>1594.83</v>
      </c>
      <c r="V153" s="111">
        <f t="shared" si="61"/>
        <v>4001.3</v>
      </c>
      <c r="W153" s="111">
        <f t="shared" si="61"/>
        <v>59.03</v>
      </c>
      <c r="X153" s="111">
        <f t="shared" si="61"/>
        <v>613.11</v>
      </c>
      <c r="Y153" s="111">
        <f t="shared" si="61"/>
        <v>988.67</v>
      </c>
      <c r="Z153" s="111">
        <f t="shared" si="61"/>
        <v>1630.53</v>
      </c>
      <c r="AA153" s="111">
        <f t="shared" si="61"/>
        <v>4037</v>
      </c>
      <c r="AB153" s="111">
        <f t="shared" si="61"/>
        <v>209.66</v>
      </c>
      <c r="AC153" s="111">
        <f t="shared" si="61"/>
        <v>3340.4</v>
      </c>
      <c r="AD153" s="111">
        <f t="shared" si="61"/>
        <v>8321.93</v>
      </c>
      <c r="AE153" s="111">
        <f t="shared" si="61"/>
        <v>16100.24</v>
      </c>
      <c r="AF153" s="111">
        <f t="shared" si="61"/>
        <v>41095.97</v>
      </c>
      <c r="AG153" s="111">
        <f t="shared" si="61"/>
        <v>0</v>
      </c>
      <c r="AH153" s="111">
        <f t="shared" si="61"/>
        <v>0</v>
      </c>
      <c r="AI153" s="111">
        <f t="shared" si="61"/>
        <v>0</v>
      </c>
      <c r="AJ153" s="111">
        <f t="shared" si="61"/>
        <v>0</v>
      </c>
      <c r="AK153" s="111">
        <f t="shared" si="61"/>
        <v>0</v>
      </c>
      <c r="AL153" s="111">
        <f t="shared" si="61"/>
        <v>0</v>
      </c>
      <c r="AM153" s="111">
        <f t="shared" si="61"/>
        <v>0</v>
      </c>
      <c r="AN153" s="111">
        <f t="shared" si="61"/>
        <v>416.38</v>
      </c>
      <c r="AO153" s="111">
        <f t="shared" si="61"/>
        <v>416.38</v>
      </c>
    </row>
    <row r="154" spans="1:43" x14ac:dyDescent="0.35">
      <c r="E154" s="78"/>
      <c r="F154" t="s">
        <v>160</v>
      </c>
      <c r="G154" t="s">
        <v>271</v>
      </c>
      <c r="H154" s="41"/>
      <c r="J154" s="111">
        <f t="shared" si="58"/>
        <v>0</v>
      </c>
      <c r="K154" s="111">
        <f t="shared" ref="K154:AO154" si="62">ROUND(K125, $H99)</f>
        <v>0</v>
      </c>
      <c r="L154" s="111">
        <f t="shared" si="62"/>
        <v>0</v>
      </c>
      <c r="M154" s="111">
        <f t="shared" si="62"/>
        <v>0</v>
      </c>
      <c r="N154" s="111">
        <f t="shared" si="62"/>
        <v>0</v>
      </c>
      <c r="O154" s="111">
        <f t="shared" si="62"/>
        <v>0</v>
      </c>
      <c r="P154" s="111">
        <f t="shared" si="62"/>
        <v>0</v>
      </c>
      <c r="Q154" s="111">
        <f t="shared" si="62"/>
        <v>0</v>
      </c>
      <c r="R154" s="111">
        <f t="shared" si="62"/>
        <v>4.0999999999999996</v>
      </c>
      <c r="S154" s="111">
        <f t="shared" si="62"/>
        <v>4.0999999999999996</v>
      </c>
      <c r="T154" s="111">
        <f t="shared" si="62"/>
        <v>4.0999999999999996</v>
      </c>
      <c r="U154" s="111">
        <f t="shared" si="62"/>
        <v>4.0999999999999996</v>
      </c>
      <c r="V154" s="111">
        <f t="shared" si="62"/>
        <v>4.0999999999999996</v>
      </c>
      <c r="W154" s="111">
        <f t="shared" si="62"/>
        <v>5.51</v>
      </c>
      <c r="X154" s="111">
        <f t="shared" si="62"/>
        <v>5.51</v>
      </c>
      <c r="Y154" s="111">
        <f t="shared" si="62"/>
        <v>5.51</v>
      </c>
      <c r="Z154" s="111">
        <f t="shared" si="62"/>
        <v>5.51</v>
      </c>
      <c r="AA154" s="111">
        <f t="shared" si="62"/>
        <v>5.51</v>
      </c>
      <c r="AB154" s="111">
        <f t="shared" si="62"/>
        <v>6.49</v>
      </c>
      <c r="AC154" s="111">
        <f t="shared" si="62"/>
        <v>6.49</v>
      </c>
      <c r="AD154" s="111">
        <f t="shared" si="62"/>
        <v>6.49</v>
      </c>
      <c r="AE154" s="111">
        <f t="shared" si="62"/>
        <v>6.49</v>
      </c>
      <c r="AF154" s="111">
        <f t="shared" si="62"/>
        <v>6.49</v>
      </c>
      <c r="AG154" s="111">
        <f t="shared" si="62"/>
        <v>0</v>
      </c>
      <c r="AH154" s="111">
        <f t="shared" si="62"/>
        <v>0</v>
      </c>
      <c r="AI154" s="111">
        <f t="shared" si="62"/>
        <v>0</v>
      </c>
      <c r="AJ154" s="111">
        <f t="shared" si="62"/>
        <v>0</v>
      </c>
      <c r="AK154" s="111">
        <f t="shared" si="62"/>
        <v>0</v>
      </c>
      <c r="AL154" s="111">
        <f t="shared" si="62"/>
        <v>0</v>
      </c>
      <c r="AM154" s="111">
        <f t="shared" si="62"/>
        <v>0</v>
      </c>
      <c r="AN154" s="111">
        <f t="shared" si="62"/>
        <v>0</v>
      </c>
      <c r="AO154" s="111">
        <f t="shared" si="62"/>
        <v>0</v>
      </c>
    </row>
    <row r="155" spans="1:43" x14ac:dyDescent="0.35">
      <c r="E155" s="78"/>
      <c r="F155" t="s">
        <v>161</v>
      </c>
      <c r="G155" t="s">
        <v>271</v>
      </c>
      <c r="H155" s="41"/>
      <c r="J155" s="111">
        <f t="shared" si="58"/>
        <v>0</v>
      </c>
      <c r="K155" s="111">
        <f t="shared" ref="K155:AO155" si="63">ROUND(K126, $H100)</f>
        <v>0</v>
      </c>
      <c r="L155" s="111">
        <f t="shared" si="63"/>
        <v>0</v>
      </c>
      <c r="M155" s="111">
        <f t="shared" si="63"/>
        <v>0</v>
      </c>
      <c r="N155" s="111">
        <f t="shared" si="63"/>
        <v>0</v>
      </c>
      <c r="O155" s="111">
        <f t="shared" si="63"/>
        <v>0</v>
      </c>
      <c r="P155" s="111">
        <f t="shared" si="63"/>
        <v>0</v>
      </c>
      <c r="Q155" s="111">
        <f t="shared" si="63"/>
        <v>0</v>
      </c>
      <c r="R155" s="111">
        <f t="shared" si="63"/>
        <v>7.17</v>
      </c>
      <c r="S155" s="111">
        <f t="shared" si="63"/>
        <v>7.17</v>
      </c>
      <c r="T155" s="111">
        <f t="shared" si="63"/>
        <v>7.17</v>
      </c>
      <c r="U155" s="111">
        <f t="shared" si="63"/>
        <v>7.17</v>
      </c>
      <c r="V155" s="111">
        <f t="shared" si="63"/>
        <v>7.17</v>
      </c>
      <c r="W155" s="111">
        <f t="shared" si="63"/>
        <v>7.06</v>
      </c>
      <c r="X155" s="111">
        <f t="shared" si="63"/>
        <v>7.06</v>
      </c>
      <c r="Y155" s="111">
        <f t="shared" si="63"/>
        <v>7.06</v>
      </c>
      <c r="Z155" s="111">
        <f t="shared" si="63"/>
        <v>7.06</v>
      </c>
      <c r="AA155" s="111">
        <f t="shared" si="63"/>
        <v>7.06</v>
      </c>
      <c r="AB155" s="111">
        <f t="shared" si="63"/>
        <v>7.75</v>
      </c>
      <c r="AC155" s="111">
        <f t="shared" si="63"/>
        <v>7.75</v>
      </c>
      <c r="AD155" s="111">
        <f t="shared" si="63"/>
        <v>7.75</v>
      </c>
      <c r="AE155" s="111">
        <f t="shared" si="63"/>
        <v>7.75</v>
      </c>
      <c r="AF155" s="111">
        <f t="shared" si="63"/>
        <v>7.75</v>
      </c>
      <c r="AG155" s="111">
        <f t="shared" si="63"/>
        <v>0</v>
      </c>
      <c r="AH155" s="111">
        <f t="shared" si="63"/>
        <v>0</v>
      </c>
      <c r="AI155" s="111">
        <f t="shared" si="63"/>
        <v>0</v>
      </c>
      <c r="AJ155" s="111">
        <f t="shared" si="63"/>
        <v>0</v>
      </c>
      <c r="AK155" s="111">
        <f t="shared" si="63"/>
        <v>0</v>
      </c>
      <c r="AL155" s="111">
        <f t="shared" si="63"/>
        <v>0</v>
      </c>
      <c r="AM155" s="111">
        <f t="shared" si="63"/>
        <v>0</v>
      </c>
      <c r="AN155" s="111">
        <f t="shared" si="63"/>
        <v>0</v>
      </c>
      <c r="AO155" s="111">
        <f t="shared" si="63"/>
        <v>0</v>
      </c>
    </row>
    <row r="156" spans="1:43" x14ac:dyDescent="0.35">
      <c r="E156" s="78"/>
      <c r="F156" s="28" t="s">
        <v>162</v>
      </c>
      <c r="G156" s="28" t="s">
        <v>272</v>
      </c>
      <c r="H156" s="272"/>
      <c r="I156" s="258"/>
      <c r="J156" s="262">
        <f t="shared" si="58"/>
        <v>0</v>
      </c>
      <c r="K156" s="262">
        <f t="shared" ref="K156:AO156" si="64">ROUND(K127, $H101)</f>
        <v>0</v>
      </c>
      <c r="L156" s="262">
        <f t="shared" si="64"/>
        <v>0</v>
      </c>
      <c r="M156" s="262">
        <f t="shared" si="64"/>
        <v>0</v>
      </c>
      <c r="N156" s="262">
        <f t="shared" si="64"/>
        <v>0</v>
      </c>
      <c r="O156" s="262">
        <f t="shared" si="64"/>
        <v>0</v>
      </c>
      <c r="P156" s="262">
        <f t="shared" si="64"/>
        <v>0</v>
      </c>
      <c r="Q156" s="262">
        <f t="shared" si="64"/>
        <v>0</v>
      </c>
      <c r="R156" s="262">
        <f t="shared" si="64"/>
        <v>0.245</v>
      </c>
      <c r="S156" s="262">
        <f t="shared" si="64"/>
        <v>0.245</v>
      </c>
      <c r="T156" s="262">
        <f t="shared" si="64"/>
        <v>0.245</v>
      </c>
      <c r="U156" s="262">
        <f t="shared" si="64"/>
        <v>0.245</v>
      </c>
      <c r="V156" s="262">
        <f t="shared" si="64"/>
        <v>0.245</v>
      </c>
      <c r="W156" s="262">
        <f t="shared" si="64"/>
        <v>0.13700000000000001</v>
      </c>
      <c r="X156" s="262">
        <f t="shared" si="64"/>
        <v>0.13700000000000001</v>
      </c>
      <c r="Y156" s="262">
        <f t="shared" si="64"/>
        <v>0.13700000000000001</v>
      </c>
      <c r="Z156" s="262">
        <f t="shared" si="64"/>
        <v>0.13700000000000001</v>
      </c>
      <c r="AA156" s="262">
        <f t="shared" si="64"/>
        <v>0.13700000000000001</v>
      </c>
      <c r="AB156" s="262">
        <f t="shared" si="64"/>
        <v>0.104</v>
      </c>
      <c r="AC156" s="262">
        <f t="shared" si="64"/>
        <v>0.104</v>
      </c>
      <c r="AD156" s="262">
        <f t="shared" si="64"/>
        <v>0.104</v>
      </c>
      <c r="AE156" s="262">
        <f t="shared" si="64"/>
        <v>0.104</v>
      </c>
      <c r="AF156" s="262">
        <f t="shared" si="64"/>
        <v>0.104</v>
      </c>
      <c r="AG156" s="262">
        <f t="shared" si="64"/>
        <v>0</v>
      </c>
      <c r="AH156" s="262">
        <f t="shared" si="64"/>
        <v>0</v>
      </c>
      <c r="AI156" s="262">
        <f t="shared" si="64"/>
        <v>0</v>
      </c>
      <c r="AJ156" s="262">
        <f t="shared" si="64"/>
        <v>0.254</v>
      </c>
      <c r="AK156" s="262">
        <f t="shared" si="64"/>
        <v>0</v>
      </c>
      <c r="AL156" s="262">
        <f t="shared" si="64"/>
        <v>0.21</v>
      </c>
      <c r="AM156" s="262">
        <f t="shared" si="64"/>
        <v>0</v>
      </c>
      <c r="AN156" s="262">
        <f t="shared" si="64"/>
        <v>0.182</v>
      </c>
      <c r="AO156" s="262">
        <f t="shared" si="64"/>
        <v>0</v>
      </c>
      <c r="AP156" s="256"/>
      <c r="AQ156" s="256"/>
    </row>
    <row r="157" spans="1:43" x14ac:dyDescent="0.35">
      <c r="E157" s="27"/>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row>
    <row r="158" spans="1:43" x14ac:dyDescent="0.35">
      <c r="E158" s="27" t="s">
        <v>754</v>
      </c>
      <c r="I158" t="s">
        <v>154</v>
      </c>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c r="AK158" s="79"/>
      <c r="AL158" s="79"/>
      <c r="AM158" s="79"/>
      <c r="AN158" s="79"/>
      <c r="AO158" s="79"/>
      <c r="AQ158" t="s">
        <v>155</v>
      </c>
    </row>
    <row r="159" spans="1:43" x14ac:dyDescent="0.35">
      <c r="E159" s="78"/>
      <c r="F159" s="19" t="s">
        <v>156</v>
      </c>
      <c r="G159" s="19" t="s">
        <v>269</v>
      </c>
      <c r="H159" s="267"/>
      <c r="I159" s="255"/>
      <c r="J159" s="260">
        <f>ROUND(J130, $H95)</f>
        <v>5.8609999999999998</v>
      </c>
      <c r="K159" s="260">
        <f t="shared" ref="K159:AO159" si="65">ROUND(K130, $H95)</f>
        <v>5.8609999999999998</v>
      </c>
      <c r="L159" s="260">
        <f t="shared" si="65"/>
        <v>5.4820000000000002</v>
      </c>
      <c r="M159" s="260">
        <f t="shared" si="65"/>
        <v>5.4820000000000002</v>
      </c>
      <c r="N159" s="260">
        <f t="shared" si="65"/>
        <v>5.4820000000000002</v>
      </c>
      <c r="O159" s="260">
        <f t="shared" si="65"/>
        <v>5.4820000000000002</v>
      </c>
      <c r="P159" s="260">
        <f t="shared" si="65"/>
        <v>5.4820000000000002</v>
      </c>
      <c r="Q159" s="260">
        <f t="shared" si="65"/>
        <v>5.4820000000000002</v>
      </c>
      <c r="R159" s="260">
        <f t="shared" si="65"/>
        <v>4.2830000000000004</v>
      </c>
      <c r="S159" s="260">
        <f t="shared" si="65"/>
        <v>4.2830000000000004</v>
      </c>
      <c r="T159" s="260">
        <f t="shared" si="65"/>
        <v>4.2830000000000004</v>
      </c>
      <c r="U159" s="260">
        <f t="shared" si="65"/>
        <v>4.2830000000000004</v>
      </c>
      <c r="V159" s="260">
        <f t="shared" si="65"/>
        <v>4.2830000000000004</v>
      </c>
      <c r="W159" s="269">
        <f t="shared" si="65"/>
        <v>0</v>
      </c>
      <c r="X159" s="269">
        <f t="shared" si="65"/>
        <v>0</v>
      </c>
      <c r="Y159" s="269">
        <f t="shared" si="65"/>
        <v>0</v>
      </c>
      <c r="Z159" s="269">
        <f t="shared" si="65"/>
        <v>0</v>
      </c>
      <c r="AA159" s="269">
        <f t="shared" si="65"/>
        <v>0</v>
      </c>
      <c r="AB159" s="269">
        <f t="shared" si="65"/>
        <v>0</v>
      </c>
      <c r="AC159" s="269">
        <f t="shared" si="65"/>
        <v>0</v>
      </c>
      <c r="AD159" s="269">
        <f t="shared" si="65"/>
        <v>0</v>
      </c>
      <c r="AE159" s="269">
        <f t="shared" si="65"/>
        <v>0</v>
      </c>
      <c r="AF159" s="269">
        <f t="shared" si="65"/>
        <v>0</v>
      </c>
      <c r="AG159" s="260">
        <f t="shared" si="65"/>
        <v>17.225000000000001</v>
      </c>
      <c r="AH159" s="260">
        <f t="shared" si="65"/>
        <v>-6.4669999999999996</v>
      </c>
      <c r="AI159" s="269">
        <f t="shared" si="65"/>
        <v>0</v>
      </c>
      <c r="AJ159" s="260">
        <f t="shared" si="65"/>
        <v>-6.4669999999999996</v>
      </c>
      <c r="AK159" s="269">
        <f t="shared" si="65"/>
        <v>0</v>
      </c>
      <c r="AL159" s="269">
        <f t="shared" si="65"/>
        <v>0</v>
      </c>
      <c r="AM159" s="269">
        <f t="shared" si="65"/>
        <v>0</v>
      </c>
      <c r="AN159" s="269">
        <f t="shared" si="65"/>
        <v>0</v>
      </c>
      <c r="AO159" s="269">
        <f t="shared" si="65"/>
        <v>0</v>
      </c>
      <c r="AP159" s="256"/>
      <c r="AQ159" s="256"/>
    </row>
    <row r="160" spans="1:43" x14ac:dyDescent="0.35">
      <c r="E160" s="78"/>
      <c r="F160" t="s">
        <v>157</v>
      </c>
      <c r="G160" t="s">
        <v>269</v>
      </c>
      <c r="H160" s="268"/>
      <c r="I160" s="256"/>
      <c r="J160" s="261">
        <f t="shared" ref="J160:J165" si="66">ROUND(J131, $H96)</f>
        <v>0.745</v>
      </c>
      <c r="K160" s="261">
        <f t="shared" ref="K160:AO160" si="67">ROUND(K131, $H96)</f>
        <v>0.745</v>
      </c>
      <c r="L160" s="261">
        <f t="shared" si="67"/>
        <v>0.69699999999999995</v>
      </c>
      <c r="M160" s="261">
        <f t="shared" si="67"/>
        <v>0.69699999999999995</v>
      </c>
      <c r="N160" s="261">
        <f t="shared" si="67"/>
        <v>0.69699999999999995</v>
      </c>
      <c r="O160" s="261">
        <f t="shared" si="67"/>
        <v>0.69699999999999995</v>
      </c>
      <c r="P160" s="261">
        <f t="shared" si="67"/>
        <v>0.69699999999999995</v>
      </c>
      <c r="Q160" s="261">
        <f t="shared" si="67"/>
        <v>0.69699999999999995</v>
      </c>
      <c r="R160" s="261">
        <f t="shared" si="67"/>
        <v>0.46899999999999997</v>
      </c>
      <c r="S160" s="261">
        <f t="shared" si="67"/>
        <v>0.46899999999999997</v>
      </c>
      <c r="T160" s="261">
        <f t="shared" si="67"/>
        <v>0.46899999999999997</v>
      </c>
      <c r="U160" s="261">
        <f t="shared" si="67"/>
        <v>0.46899999999999997</v>
      </c>
      <c r="V160" s="261">
        <f t="shared" si="67"/>
        <v>0.46899999999999997</v>
      </c>
      <c r="W160" s="257">
        <f t="shared" si="67"/>
        <v>0</v>
      </c>
      <c r="X160" s="257">
        <f t="shared" si="67"/>
        <v>0</v>
      </c>
      <c r="Y160" s="257">
        <f t="shared" si="67"/>
        <v>0</v>
      </c>
      <c r="Z160" s="257">
        <f t="shared" si="67"/>
        <v>0</v>
      </c>
      <c r="AA160" s="257">
        <f t="shared" si="67"/>
        <v>0</v>
      </c>
      <c r="AB160" s="257">
        <f t="shared" si="67"/>
        <v>0</v>
      </c>
      <c r="AC160" s="257">
        <f t="shared" si="67"/>
        <v>0</v>
      </c>
      <c r="AD160" s="257">
        <f t="shared" si="67"/>
        <v>0</v>
      </c>
      <c r="AE160" s="257">
        <f t="shared" si="67"/>
        <v>0</v>
      </c>
      <c r="AF160" s="257">
        <f t="shared" si="67"/>
        <v>0</v>
      </c>
      <c r="AG160" s="261">
        <f t="shared" si="67"/>
        <v>3.9060000000000001</v>
      </c>
      <c r="AH160" s="261">
        <f t="shared" si="67"/>
        <v>-0.82199999999999995</v>
      </c>
      <c r="AI160" s="257">
        <f t="shared" si="67"/>
        <v>0</v>
      </c>
      <c r="AJ160" s="261">
        <f t="shared" si="67"/>
        <v>-0.82199999999999995</v>
      </c>
      <c r="AK160" s="257">
        <f t="shared" si="67"/>
        <v>0</v>
      </c>
      <c r="AL160" s="257">
        <f t="shared" si="67"/>
        <v>0</v>
      </c>
      <c r="AM160" s="257">
        <f t="shared" si="67"/>
        <v>0</v>
      </c>
      <c r="AN160" s="257">
        <f t="shared" si="67"/>
        <v>0</v>
      </c>
      <c r="AO160" s="257">
        <f t="shared" si="67"/>
        <v>0</v>
      </c>
      <c r="AP160" s="256"/>
      <c r="AQ160" s="256"/>
    </row>
    <row r="161" spans="2:43" x14ac:dyDescent="0.35">
      <c r="E161" s="78"/>
      <c r="F161" t="s">
        <v>158</v>
      </c>
      <c r="G161" t="s">
        <v>269</v>
      </c>
      <c r="H161" s="268"/>
      <c r="I161" s="256"/>
      <c r="J161" s="261">
        <f t="shared" si="66"/>
        <v>3.5999999999999997E-2</v>
      </c>
      <c r="K161" s="261">
        <f t="shared" ref="K161:AO161" si="68">ROUND(K132, $H97)</f>
        <v>3.5999999999999997E-2</v>
      </c>
      <c r="L161" s="261">
        <f t="shared" si="68"/>
        <v>3.4000000000000002E-2</v>
      </c>
      <c r="M161" s="261">
        <f t="shared" si="68"/>
        <v>3.4000000000000002E-2</v>
      </c>
      <c r="N161" s="261">
        <f t="shared" si="68"/>
        <v>3.4000000000000002E-2</v>
      </c>
      <c r="O161" s="261">
        <f t="shared" si="68"/>
        <v>3.4000000000000002E-2</v>
      </c>
      <c r="P161" s="261">
        <f t="shared" si="68"/>
        <v>3.4000000000000002E-2</v>
      </c>
      <c r="Q161" s="261">
        <f t="shared" si="68"/>
        <v>3.4000000000000002E-2</v>
      </c>
      <c r="R161" s="261">
        <f t="shared" si="68"/>
        <v>2.1999999999999999E-2</v>
      </c>
      <c r="S161" s="261">
        <f t="shared" si="68"/>
        <v>2.1999999999999999E-2</v>
      </c>
      <c r="T161" s="261">
        <f t="shared" si="68"/>
        <v>2.1999999999999999E-2</v>
      </c>
      <c r="U161" s="261">
        <f t="shared" si="68"/>
        <v>2.1999999999999999E-2</v>
      </c>
      <c r="V161" s="261">
        <f t="shared" si="68"/>
        <v>2.1999999999999999E-2</v>
      </c>
      <c r="W161" s="257">
        <f t="shared" si="68"/>
        <v>0</v>
      </c>
      <c r="X161" s="257">
        <f t="shared" si="68"/>
        <v>0</v>
      </c>
      <c r="Y161" s="257">
        <f t="shared" si="68"/>
        <v>0</v>
      </c>
      <c r="Z161" s="257">
        <f t="shared" si="68"/>
        <v>0</v>
      </c>
      <c r="AA161" s="257">
        <f t="shared" si="68"/>
        <v>0</v>
      </c>
      <c r="AB161" s="257">
        <f t="shared" si="68"/>
        <v>0</v>
      </c>
      <c r="AC161" s="257">
        <f t="shared" si="68"/>
        <v>0</v>
      </c>
      <c r="AD161" s="257">
        <f t="shared" si="68"/>
        <v>0</v>
      </c>
      <c r="AE161" s="257">
        <f t="shared" si="68"/>
        <v>0</v>
      </c>
      <c r="AF161" s="257">
        <f t="shared" si="68"/>
        <v>0</v>
      </c>
      <c r="AG161" s="261">
        <f t="shared" si="68"/>
        <v>3.2450000000000001</v>
      </c>
      <c r="AH161" s="261">
        <f t="shared" si="68"/>
        <v>-0.04</v>
      </c>
      <c r="AI161" s="257">
        <f t="shared" si="68"/>
        <v>0</v>
      </c>
      <c r="AJ161" s="261">
        <f t="shared" si="68"/>
        <v>-0.04</v>
      </c>
      <c r="AK161" s="257">
        <f t="shared" si="68"/>
        <v>0</v>
      </c>
      <c r="AL161" s="257">
        <f t="shared" si="68"/>
        <v>0</v>
      </c>
      <c r="AM161" s="257">
        <f t="shared" si="68"/>
        <v>0</v>
      </c>
      <c r="AN161" s="257">
        <f t="shared" si="68"/>
        <v>0</v>
      </c>
      <c r="AO161" s="257">
        <f t="shared" si="68"/>
        <v>0</v>
      </c>
      <c r="AP161" s="256"/>
      <c r="AQ161" s="256"/>
    </row>
    <row r="162" spans="2:43" x14ac:dyDescent="0.35">
      <c r="E162" s="78"/>
      <c r="F162" t="s">
        <v>159</v>
      </c>
      <c r="G162" t="s">
        <v>270</v>
      </c>
      <c r="H162" s="41"/>
      <c r="J162" s="111">
        <f t="shared" si="66"/>
        <v>16.61</v>
      </c>
      <c r="K162" s="111">
        <f t="shared" ref="K162:AO162" si="69">ROUND(K133, $H98)</f>
        <v>0</v>
      </c>
      <c r="L162" s="111">
        <f t="shared" si="69"/>
        <v>6.55</v>
      </c>
      <c r="M162" s="111">
        <f t="shared" si="69"/>
        <v>17.97</v>
      </c>
      <c r="N162" s="111">
        <f t="shared" si="69"/>
        <v>37.82</v>
      </c>
      <c r="O162" s="111">
        <f t="shared" si="69"/>
        <v>75.8</v>
      </c>
      <c r="P162" s="111">
        <f t="shared" si="69"/>
        <v>201.31</v>
      </c>
      <c r="Q162" s="111">
        <f t="shared" si="69"/>
        <v>0</v>
      </c>
      <c r="R162" s="111">
        <f t="shared" si="69"/>
        <v>14.87</v>
      </c>
      <c r="S162" s="111">
        <f t="shared" si="69"/>
        <v>363.4</v>
      </c>
      <c r="T162" s="111">
        <f t="shared" si="69"/>
        <v>599.64</v>
      </c>
      <c r="U162" s="111">
        <f t="shared" si="69"/>
        <v>1003.38</v>
      </c>
      <c r="V162" s="111">
        <f t="shared" si="69"/>
        <v>2517.12</v>
      </c>
      <c r="W162" s="69">
        <f t="shared" si="69"/>
        <v>0</v>
      </c>
      <c r="X162" s="69">
        <f t="shared" si="69"/>
        <v>0</v>
      </c>
      <c r="Y162" s="69">
        <f t="shared" si="69"/>
        <v>0</v>
      </c>
      <c r="Z162" s="69">
        <f t="shared" si="69"/>
        <v>0</v>
      </c>
      <c r="AA162" s="69">
        <f t="shared" si="69"/>
        <v>0</v>
      </c>
      <c r="AB162" s="69">
        <f t="shared" si="69"/>
        <v>0</v>
      </c>
      <c r="AC162" s="69">
        <f t="shared" si="69"/>
        <v>0</v>
      </c>
      <c r="AD162" s="69">
        <f t="shared" si="69"/>
        <v>0</v>
      </c>
      <c r="AE162" s="69">
        <f t="shared" si="69"/>
        <v>0</v>
      </c>
      <c r="AF162" s="69">
        <f t="shared" si="69"/>
        <v>0</v>
      </c>
      <c r="AG162" s="111">
        <f t="shared" si="69"/>
        <v>0</v>
      </c>
      <c r="AH162" s="111">
        <f t="shared" si="69"/>
        <v>0</v>
      </c>
      <c r="AI162" s="69">
        <f t="shared" si="69"/>
        <v>0</v>
      </c>
      <c r="AJ162" s="111">
        <f t="shared" si="69"/>
        <v>0</v>
      </c>
      <c r="AK162" s="69">
        <f t="shared" si="69"/>
        <v>0</v>
      </c>
      <c r="AL162" s="69">
        <f t="shared" si="69"/>
        <v>0</v>
      </c>
      <c r="AM162" s="69">
        <f t="shared" si="69"/>
        <v>0</v>
      </c>
      <c r="AN162" s="69">
        <f t="shared" si="69"/>
        <v>0</v>
      </c>
      <c r="AO162" s="69">
        <f t="shared" si="69"/>
        <v>0</v>
      </c>
    </row>
    <row r="163" spans="2:43" x14ac:dyDescent="0.35">
      <c r="E163" s="78"/>
      <c r="F163" t="s">
        <v>160</v>
      </c>
      <c r="G163" t="s">
        <v>271</v>
      </c>
      <c r="H163" s="41"/>
      <c r="J163" s="111">
        <f t="shared" si="66"/>
        <v>0</v>
      </c>
      <c r="K163" s="111">
        <f t="shared" ref="K163:AO163" si="70">ROUND(K134, $H99)</f>
        <v>0</v>
      </c>
      <c r="L163" s="111">
        <f t="shared" si="70"/>
        <v>0</v>
      </c>
      <c r="M163" s="111">
        <f t="shared" si="70"/>
        <v>0</v>
      </c>
      <c r="N163" s="111">
        <f t="shared" si="70"/>
        <v>0</v>
      </c>
      <c r="O163" s="111">
        <f t="shared" si="70"/>
        <v>0</v>
      </c>
      <c r="P163" s="111">
        <f t="shared" si="70"/>
        <v>0</v>
      </c>
      <c r="Q163" s="111">
        <f t="shared" si="70"/>
        <v>0</v>
      </c>
      <c r="R163" s="111">
        <f t="shared" si="70"/>
        <v>2.58</v>
      </c>
      <c r="S163" s="111">
        <f t="shared" si="70"/>
        <v>2.58</v>
      </c>
      <c r="T163" s="111">
        <f t="shared" si="70"/>
        <v>2.58</v>
      </c>
      <c r="U163" s="111">
        <f t="shared" si="70"/>
        <v>2.58</v>
      </c>
      <c r="V163" s="111">
        <f t="shared" si="70"/>
        <v>2.58</v>
      </c>
      <c r="W163" s="69">
        <f t="shared" si="70"/>
        <v>0</v>
      </c>
      <c r="X163" s="69">
        <f t="shared" si="70"/>
        <v>0</v>
      </c>
      <c r="Y163" s="69">
        <f t="shared" si="70"/>
        <v>0</v>
      </c>
      <c r="Z163" s="69">
        <f t="shared" si="70"/>
        <v>0</v>
      </c>
      <c r="AA163" s="69">
        <f t="shared" si="70"/>
        <v>0</v>
      </c>
      <c r="AB163" s="69">
        <f t="shared" si="70"/>
        <v>0</v>
      </c>
      <c r="AC163" s="69">
        <f t="shared" si="70"/>
        <v>0</v>
      </c>
      <c r="AD163" s="69">
        <f t="shared" si="70"/>
        <v>0</v>
      </c>
      <c r="AE163" s="69">
        <f t="shared" si="70"/>
        <v>0</v>
      </c>
      <c r="AF163" s="69">
        <f t="shared" si="70"/>
        <v>0</v>
      </c>
      <c r="AG163" s="111">
        <f t="shared" si="70"/>
        <v>0</v>
      </c>
      <c r="AH163" s="111">
        <f t="shared" si="70"/>
        <v>0</v>
      </c>
      <c r="AI163" s="69">
        <f t="shared" si="70"/>
        <v>0</v>
      </c>
      <c r="AJ163" s="111">
        <f t="shared" si="70"/>
        <v>0</v>
      </c>
      <c r="AK163" s="69">
        <f t="shared" si="70"/>
        <v>0</v>
      </c>
      <c r="AL163" s="69">
        <f t="shared" si="70"/>
        <v>0</v>
      </c>
      <c r="AM163" s="69">
        <f t="shared" si="70"/>
        <v>0</v>
      </c>
      <c r="AN163" s="69">
        <f t="shared" si="70"/>
        <v>0</v>
      </c>
      <c r="AO163" s="69">
        <f t="shared" si="70"/>
        <v>0</v>
      </c>
    </row>
    <row r="164" spans="2:43" x14ac:dyDescent="0.35">
      <c r="E164" s="78"/>
      <c r="F164" t="s">
        <v>161</v>
      </c>
      <c r="G164" t="s">
        <v>271</v>
      </c>
      <c r="H164" s="41"/>
      <c r="J164" s="111">
        <f t="shared" si="66"/>
        <v>0</v>
      </c>
      <c r="K164" s="111">
        <f t="shared" ref="K164:AO164" si="71">ROUND(K135, $H100)</f>
        <v>0</v>
      </c>
      <c r="L164" s="111">
        <f t="shared" si="71"/>
        <v>0</v>
      </c>
      <c r="M164" s="111">
        <f t="shared" si="71"/>
        <v>0</v>
      </c>
      <c r="N164" s="111">
        <f t="shared" si="71"/>
        <v>0</v>
      </c>
      <c r="O164" s="111">
        <f t="shared" si="71"/>
        <v>0</v>
      </c>
      <c r="P164" s="111">
        <f t="shared" si="71"/>
        <v>0</v>
      </c>
      <c r="Q164" s="111">
        <f t="shared" si="71"/>
        <v>0</v>
      </c>
      <c r="R164" s="111">
        <f t="shared" si="71"/>
        <v>4.51</v>
      </c>
      <c r="S164" s="111">
        <f t="shared" si="71"/>
        <v>4.51</v>
      </c>
      <c r="T164" s="111">
        <f t="shared" si="71"/>
        <v>4.51</v>
      </c>
      <c r="U164" s="111">
        <f t="shared" si="71"/>
        <v>4.51</v>
      </c>
      <c r="V164" s="111">
        <f t="shared" si="71"/>
        <v>4.51</v>
      </c>
      <c r="W164" s="69">
        <f t="shared" si="71"/>
        <v>0</v>
      </c>
      <c r="X164" s="69">
        <f t="shared" si="71"/>
        <v>0</v>
      </c>
      <c r="Y164" s="69">
        <f t="shared" si="71"/>
        <v>0</v>
      </c>
      <c r="Z164" s="69">
        <f t="shared" si="71"/>
        <v>0</v>
      </c>
      <c r="AA164" s="69">
        <f t="shared" si="71"/>
        <v>0</v>
      </c>
      <c r="AB164" s="69">
        <f t="shared" si="71"/>
        <v>0</v>
      </c>
      <c r="AC164" s="69">
        <f t="shared" si="71"/>
        <v>0</v>
      </c>
      <c r="AD164" s="69">
        <f t="shared" si="71"/>
        <v>0</v>
      </c>
      <c r="AE164" s="69">
        <f t="shared" si="71"/>
        <v>0</v>
      </c>
      <c r="AF164" s="69">
        <f t="shared" si="71"/>
        <v>0</v>
      </c>
      <c r="AG164" s="111">
        <f t="shared" si="71"/>
        <v>0</v>
      </c>
      <c r="AH164" s="111">
        <f t="shared" si="71"/>
        <v>0</v>
      </c>
      <c r="AI164" s="69">
        <f t="shared" si="71"/>
        <v>0</v>
      </c>
      <c r="AJ164" s="111">
        <f t="shared" si="71"/>
        <v>0</v>
      </c>
      <c r="AK164" s="69">
        <f t="shared" si="71"/>
        <v>0</v>
      </c>
      <c r="AL164" s="69">
        <f t="shared" si="71"/>
        <v>0</v>
      </c>
      <c r="AM164" s="69">
        <f t="shared" si="71"/>
        <v>0</v>
      </c>
      <c r="AN164" s="69">
        <f t="shared" si="71"/>
        <v>0</v>
      </c>
      <c r="AO164" s="69">
        <f t="shared" si="71"/>
        <v>0</v>
      </c>
    </row>
    <row r="165" spans="2:43" x14ac:dyDescent="0.35">
      <c r="E165" s="78"/>
      <c r="F165" s="28" t="s">
        <v>162</v>
      </c>
      <c r="G165" s="28" t="s">
        <v>272</v>
      </c>
      <c r="H165" s="272"/>
      <c r="I165" s="258"/>
      <c r="J165" s="262">
        <f t="shared" si="66"/>
        <v>0</v>
      </c>
      <c r="K165" s="262">
        <f t="shared" ref="K165:AO165" si="72">ROUND(K136, $H101)</f>
        <v>0</v>
      </c>
      <c r="L165" s="262">
        <f t="shared" si="72"/>
        <v>0</v>
      </c>
      <c r="M165" s="262">
        <f t="shared" si="72"/>
        <v>0</v>
      </c>
      <c r="N165" s="262">
        <f t="shared" si="72"/>
        <v>0</v>
      </c>
      <c r="O165" s="262">
        <f t="shared" si="72"/>
        <v>0</v>
      </c>
      <c r="P165" s="262">
        <f t="shared" si="72"/>
        <v>0</v>
      </c>
      <c r="Q165" s="262">
        <f t="shared" si="72"/>
        <v>0</v>
      </c>
      <c r="R165" s="262">
        <f t="shared" si="72"/>
        <v>0.154</v>
      </c>
      <c r="S165" s="262">
        <f t="shared" si="72"/>
        <v>0.154</v>
      </c>
      <c r="T165" s="262">
        <f t="shared" si="72"/>
        <v>0.154</v>
      </c>
      <c r="U165" s="262">
        <f t="shared" si="72"/>
        <v>0.154</v>
      </c>
      <c r="V165" s="262">
        <f t="shared" si="72"/>
        <v>0.154</v>
      </c>
      <c r="W165" s="259">
        <f t="shared" si="72"/>
        <v>0</v>
      </c>
      <c r="X165" s="259">
        <f t="shared" si="72"/>
        <v>0</v>
      </c>
      <c r="Y165" s="259">
        <f t="shared" si="72"/>
        <v>0</v>
      </c>
      <c r="Z165" s="259">
        <f t="shared" si="72"/>
        <v>0</v>
      </c>
      <c r="AA165" s="259">
        <f t="shared" si="72"/>
        <v>0</v>
      </c>
      <c r="AB165" s="259">
        <f t="shared" si="72"/>
        <v>0</v>
      </c>
      <c r="AC165" s="259">
        <f t="shared" si="72"/>
        <v>0</v>
      </c>
      <c r="AD165" s="259">
        <f t="shared" si="72"/>
        <v>0</v>
      </c>
      <c r="AE165" s="259">
        <f t="shared" si="72"/>
        <v>0</v>
      </c>
      <c r="AF165" s="259">
        <f t="shared" si="72"/>
        <v>0</v>
      </c>
      <c r="AG165" s="262">
        <f t="shared" si="72"/>
        <v>0</v>
      </c>
      <c r="AH165" s="262">
        <f t="shared" si="72"/>
        <v>0</v>
      </c>
      <c r="AI165" s="259">
        <f t="shared" si="72"/>
        <v>0</v>
      </c>
      <c r="AJ165" s="262">
        <f t="shared" si="72"/>
        <v>0.254</v>
      </c>
      <c r="AK165" s="259">
        <f t="shared" si="72"/>
        <v>0</v>
      </c>
      <c r="AL165" s="259">
        <f t="shared" si="72"/>
        <v>0</v>
      </c>
      <c r="AM165" s="259">
        <f t="shared" si="72"/>
        <v>0</v>
      </c>
      <c r="AN165" s="259">
        <f t="shared" si="72"/>
        <v>0</v>
      </c>
      <c r="AO165" s="259">
        <f t="shared" si="72"/>
        <v>0</v>
      </c>
      <c r="AP165" s="256"/>
      <c r="AQ165" s="256"/>
    </row>
    <row r="166" spans="2:43" x14ac:dyDescent="0.35">
      <c r="E166" s="78"/>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2:43" x14ac:dyDescent="0.35">
      <c r="E167" s="27" t="s">
        <v>755</v>
      </c>
      <c r="I167" t="s">
        <v>154</v>
      </c>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Q167" t="s">
        <v>155</v>
      </c>
    </row>
    <row r="168" spans="2:43" x14ac:dyDescent="0.35">
      <c r="C168" s="78"/>
      <c r="F168" s="19" t="s">
        <v>156</v>
      </c>
      <c r="G168" s="19" t="s">
        <v>269</v>
      </c>
      <c r="H168" s="267"/>
      <c r="I168" s="255"/>
      <c r="J168" s="260">
        <f t="shared" ref="J168" si="73">ROUND( J139, $H95)</f>
        <v>4.2370000000000001</v>
      </c>
      <c r="K168" s="260">
        <f t="shared" ref="K168:AO168" si="74">ROUND( K139, $H95)</f>
        <v>4.2370000000000001</v>
      </c>
      <c r="L168" s="260">
        <f t="shared" si="74"/>
        <v>3.9630000000000001</v>
      </c>
      <c r="M168" s="260">
        <f t="shared" si="74"/>
        <v>3.9630000000000001</v>
      </c>
      <c r="N168" s="260">
        <f t="shared" si="74"/>
        <v>3.9630000000000001</v>
      </c>
      <c r="O168" s="260">
        <f t="shared" si="74"/>
        <v>3.9630000000000001</v>
      </c>
      <c r="P168" s="260">
        <f t="shared" si="74"/>
        <v>3.9630000000000001</v>
      </c>
      <c r="Q168" s="260">
        <f t="shared" si="74"/>
        <v>3.9630000000000001</v>
      </c>
      <c r="R168" s="260">
        <f t="shared" si="74"/>
        <v>3.0960000000000001</v>
      </c>
      <c r="S168" s="260">
        <f t="shared" si="74"/>
        <v>3.0960000000000001</v>
      </c>
      <c r="T168" s="260">
        <f t="shared" si="74"/>
        <v>3.0960000000000001</v>
      </c>
      <c r="U168" s="260">
        <f t="shared" si="74"/>
        <v>3.0960000000000001</v>
      </c>
      <c r="V168" s="260">
        <f t="shared" si="74"/>
        <v>3.0960000000000001</v>
      </c>
      <c r="W168" s="260">
        <f t="shared" si="74"/>
        <v>3.3660000000000001</v>
      </c>
      <c r="X168" s="260">
        <f t="shared" si="74"/>
        <v>3.3660000000000001</v>
      </c>
      <c r="Y168" s="260">
        <f t="shared" si="74"/>
        <v>3.3660000000000001</v>
      </c>
      <c r="Z168" s="260">
        <f t="shared" si="74"/>
        <v>3.3660000000000001</v>
      </c>
      <c r="AA168" s="260">
        <f t="shared" si="74"/>
        <v>3.3660000000000001</v>
      </c>
      <c r="AB168" s="260">
        <f t="shared" si="74"/>
        <v>3.0640000000000001</v>
      </c>
      <c r="AC168" s="260">
        <f t="shared" si="74"/>
        <v>3.0640000000000001</v>
      </c>
      <c r="AD168" s="260">
        <f t="shared" si="74"/>
        <v>3.0640000000000001</v>
      </c>
      <c r="AE168" s="260">
        <f t="shared" si="74"/>
        <v>3.0640000000000001</v>
      </c>
      <c r="AF168" s="260">
        <f t="shared" si="74"/>
        <v>3.0640000000000001</v>
      </c>
      <c r="AG168" s="260">
        <f t="shared" si="74"/>
        <v>12.452</v>
      </c>
      <c r="AH168" s="260">
        <f t="shared" si="74"/>
        <v>-6.4669999999999996</v>
      </c>
      <c r="AI168" s="260">
        <f t="shared" si="74"/>
        <v>-5.7430000000000003</v>
      </c>
      <c r="AJ168" s="260">
        <f t="shared" si="74"/>
        <v>-6.4669999999999996</v>
      </c>
      <c r="AK168" s="269">
        <f t="shared" si="74"/>
        <v>0</v>
      </c>
      <c r="AL168" s="260">
        <f t="shared" si="74"/>
        <v>-5.7430000000000003</v>
      </c>
      <c r="AM168" s="269">
        <f t="shared" si="74"/>
        <v>0</v>
      </c>
      <c r="AN168" s="260">
        <f t="shared" si="74"/>
        <v>-4.4080000000000004</v>
      </c>
      <c r="AO168" s="269">
        <f t="shared" si="74"/>
        <v>0</v>
      </c>
      <c r="AP168" s="256"/>
      <c r="AQ168" s="256"/>
    </row>
    <row r="169" spans="2:43" x14ac:dyDescent="0.35">
      <c r="C169" s="78"/>
      <c r="F169" t="s">
        <v>157</v>
      </c>
      <c r="G169" t="s">
        <v>269</v>
      </c>
      <c r="H169" s="268"/>
      <c r="I169" s="256"/>
      <c r="J169" s="261">
        <f t="shared" ref="J169:J174" si="75">ROUND( J140, $H96)</f>
        <v>0.53800000000000003</v>
      </c>
      <c r="K169" s="261">
        <f t="shared" ref="K169:AO169" si="76">ROUND( K140, $H96)</f>
        <v>0.53800000000000003</v>
      </c>
      <c r="L169" s="261">
        <f t="shared" si="76"/>
        <v>0.504</v>
      </c>
      <c r="M169" s="261">
        <f t="shared" si="76"/>
        <v>0.504</v>
      </c>
      <c r="N169" s="261">
        <f t="shared" si="76"/>
        <v>0.504</v>
      </c>
      <c r="O169" s="261">
        <f t="shared" si="76"/>
        <v>0.504</v>
      </c>
      <c r="P169" s="261">
        <f t="shared" si="76"/>
        <v>0.504</v>
      </c>
      <c r="Q169" s="261">
        <f t="shared" si="76"/>
        <v>0.504</v>
      </c>
      <c r="R169" s="261">
        <f t="shared" si="76"/>
        <v>0.33900000000000002</v>
      </c>
      <c r="S169" s="261">
        <f t="shared" si="76"/>
        <v>0.33900000000000002</v>
      </c>
      <c r="T169" s="261">
        <f t="shared" si="76"/>
        <v>0.33900000000000002</v>
      </c>
      <c r="U169" s="261">
        <f t="shared" si="76"/>
        <v>0.33900000000000002</v>
      </c>
      <c r="V169" s="261">
        <f t="shared" si="76"/>
        <v>0.33900000000000002</v>
      </c>
      <c r="W169" s="261">
        <f t="shared" si="76"/>
        <v>0.252</v>
      </c>
      <c r="X169" s="261">
        <f t="shared" si="76"/>
        <v>0.252</v>
      </c>
      <c r="Y169" s="261">
        <f t="shared" si="76"/>
        <v>0.252</v>
      </c>
      <c r="Z169" s="261">
        <f t="shared" si="76"/>
        <v>0.252</v>
      </c>
      <c r="AA169" s="261">
        <f t="shared" si="76"/>
        <v>0.252</v>
      </c>
      <c r="AB169" s="261">
        <f t="shared" si="76"/>
        <v>0.20300000000000001</v>
      </c>
      <c r="AC169" s="261">
        <f t="shared" si="76"/>
        <v>0.20300000000000001</v>
      </c>
      <c r="AD169" s="261">
        <f t="shared" si="76"/>
        <v>0.20300000000000001</v>
      </c>
      <c r="AE169" s="261">
        <f t="shared" si="76"/>
        <v>0.20300000000000001</v>
      </c>
      <c r="AF169" s="261">
        <f t="shared" si="76"/>
        <v>0.20300000000000001</v>
      </c>
      <c r="AG169" s="261">
        <f t="shared" si="76"/>
        <v>2.8239999999999998</v>
      </c>
      <c r="AH169" s="261">
        <f t="shared" si="76"/>
        <v>-0.82199999999999995</v>
      </c>
      <c r="AI169" s="261">
        <f t="shared" si="76"/>
        <v>-0.66700000000000004</v>
      </c>
      <c r="AJ169" s="261">
        <f t="shared" si="76"/>
        <v>-0.82199999999999995</v>
      </c>
      <c r="AK169" s="257">
        <f t="shared" si="76"/>
        <v>0</v>
      </c>
      <c r="AL169" s="261">
        <f t="shared" si="76"/>
        <v>-0.66700000000000004</v>
      </c>
      <c r="AM169" s="257">
        <f t="shared" si="76"/>
        <v>0</v>
      </c>
      <c r="AN169" s="261">
        <f t="shared" si="76"/>
        <v>-0.32900000000000001</v>
      </c>
      <c r="AO169" s="257">
        <f t="shared" si="76"/>
        <v>0</v>
      </c>
      <c r="AP169" s="256"/>
      <c r="AQ169" s="256"/>
    </row>
    <row r="170" spans="2:43" x14ac:dyDescent="0.35">
      <c r="C170" s="78"/>
      <c r="F170" t="s">
        <v>158</v>
      </c>
      <c r="G170" t="s">
        <v>269</v>
      </c>
      <c r="H170" s="268"/>
      <c r="I170" s="256"/>
      <c r="J170" s="261">
        <f t="shared" si="75"/>
        <v>2.5999999999999999E-2</v>
      </c>
      <c r="K170" s="261">
        <f t="shared" ref="K170:AO170" si="77">ROUND( K141, $H97)</f>
        <v>2.5999999999999999E-2</v>
      </c>
      <c r="L170" s="261">
        <f t="shared" si="77"/>
        <v>2.4E-2</v>
      </c>
      <c r="M170" s="261">
        <f t="shared" si="77"/>
        <v>2.4E-2</v>
      </c>
      <c r="N170" s="261">
        <f t="shared" si="77"/>
        <v>2.4E-2</v>
      </c>
      <c r="O170" s="261">
        <f t="shared" si="77"/>
        <v>2.4E-2</v>
      </c>
      <c r="P170" s="261">
        <f t="shared" si="77"/>
        <v>2.4E-2</v>
      </c>
      <c r="Q170" s="261">
        <f t="shared" si="77"/>
        <v>2.4E-2</v>
      </c>
      <c r="R170" s="261">
        <f t="shared" si="77"/>
        <v>1.6E-2</v>
      </c>
      <c r="S170" s="261">
        <f t="shared" si="77"/>
        <v>1.6E-2</v>
      </c>
      <c r="T170" s="261">
        <f t="shared" si="77"/>
        <v>1.6E-2</v>
      </c>
      <c r="U170" s="261">
        <f t="shared" si="77"/>
        <v>1.6E-2</v>
      </c>
      <c r="V170" s="261">
        <f t="shared" si="77"/>
        <v>1.6E-2</v>
      </c>
      <c r="W170" s="261">
        <f t="shared" si="77"/>
        <v>1.0999999999999999E-2</v>
      </c>
      <c r="X170" s="261">
        <f t="shared" si="77"/>
        <v>1.0999999999999999E-2</v>
      </c>
      <c r="Y170" s="261">
        <f t="shared" si="77"/>
        <v>1.0999999999999999E-2</v>
      </c>
      <c r="Z170" s="261">
        <f t="shared" si="77"/>
        <v>1.0999999999999999E-2</v>
      </c>
      <c r="AA170" s="261">
        <f t="shared" si="77"/>
        <v>1.0999999999999999E-2</v>
      </c>
      <c r="AB170" s="261">
        <f t="shared" si="77"/>
        <v>8.9999999999999993E-3</v>
      </c>
      <c r="AC170" s="261">
        <f t="shared" si="77"/>
        <v>8.9999999999999993E-3</v>
      </c>
      <c r="AD170" s="261">
        <f t="shared" si="77"/>
        <v>8.9999999999999993E-3</v>
      </c>
      <c r="AE170" s="261">
        <f t="shared" si="77"/>
        <v>8.9999999999999993E-3</v>
      </c>
      <c r="AF170" s="261">
        <f t="shared" si="77"/>
        <v>8.9999999999999993E-3</v>
      </c>
      <c r="AG170" s="261">
        <f t="shared" si="77"/>
        <v>2.3460000000000001</v>
      </c>
      <c r="AH170" s="261">
        <f t="shared" si="77"/>
        <v>-0.04</v>
      </c>
      <c r="AI170" s="261">
        <f t="shared" si="77"/>
        <v>-3.2000000000000001E-2</v>
      </c>
      <c r="AJ170" s="261">
        <f t="shared" si="77"/>
        <v>-0.04</v>
      </c>
      <c r="AK170" s="257">
        <f t="shared" si="77"/>
        <v>0</v>
      </c>
      <c r="AL170" s="261">
        <f t="shared" si="77"/>
        <v>-3.2000000000000001E-2</v>
      </c>
      <c r="AM170" s="257">
        <f t="shared" si="77"/>
        <v>0</v>
      </c>
      <c r="AN170" s="261">
        <f t="shared" si="77"/>
        <v>-1.4999999999999999E-2</v>
      </c>
      <c r="AO170" s="257">
        <f t="shared" si="77"/>
        <v>0</v>
      </c>
      <c r="AP170" s="256"/>
      <c r="AQ170" s="256"/>
    </row>
    <row r="171" spans="2:43" x14ac:dyDescent="0.35">
      <c r="C171" s="78"/>
      <c r="F171" t="s">
        <v>159</v>
      </c>
      <c r="G171" t="s">
        <v>270</v>
      </c>
      <c r="H171" s="41"/>
      <c r="J171" s="111">
        <f t="shared" si="75"/>
        <v>12.21</v>
      </c>
      <c r="K171" s="111">
        <f t="shared" ref="K171:AO171" si="78">ROUND( K142, $H98)</f>
        <v>0</v>
      </c>
      <c r="L171" s="111">
        <f t="shared" si="78"/>
        <v>4.88</v>
      </c>
      <c r="M171" s="111">
        <f t="shared" si="78"/>
        <v>13.14</v>
      </c>
      <c r="N171" s="111">
        <f t="shared" si="78"/>
        <v>27.49</v>
      </c>
      <c r="O171" s="111">
        <f t="shared" si="78"/>
        <v>54.94</v>
      </c>
      <c r="P171" s="111">
        <f t="shared" si="78"/>
        <v>145.66</v>
      </c>
      <c r="Q171" s="111">
        <f t="shared" si="78"/>
        <v>0</v>
      </c>
      <c r="R171" s="111">
        <f t="shared" si="78"/>
        <v>10.9</v>
      </c>
      <c r="S171" s="111">
        <f t="shared" si="78"/>
        <v>262.83999999999997</v>
      </c>
      <c r="T171" s="111">
        <f t="shared" si="78"/>
        <v>433.61</v>
      </c>
      <c r="U171" s="111">
        <f t="shared" si="78"/>
        <v>725.47</v>
      </c>
      <c r="V171" s="111">
        <f t="shared" si="78"/>
        <v>1819.71</v>
      </c>
      <c r="W171" s="111">
        <f t="shared" si="78"/>
        <v>43.85</v>
      </c>
      <c r="X171" s="111">
        <f t="shared" si="78"/>
        <v>454.13</v>
      </c>
      <c r="Y171" s="111">
        <f t="shared" si="78"/>
        <v>732.23</v>
      </c>
      <c r="Z171" s="111">
        <f t="shared" si="78"/>
        <v>1207.51</v>
      </c>
      <c r="AA171" s="111">
        <f t="shared" si="78"/>
        <v>2989.46</v>
      </c>
      <c r="AB171" s="111">
        <f t="shared" si="78"/>
        <v>177.99</v>
      </c>
      <c r="AC171" s="111">
        <f t="shared" si="78"/>
        <v>2834.65</v>
      </c>
      <c r="AD171" s="111">
        <f t="shared" si="78"/>
        <v>7061.84</v>
      </c>
      <c r="AE171" s="111">
        <f t="shared" si="78"/>
        <v>13662.3</v>
      </c>
      <c r="AF171" s="111">
        <f t="shared" si="78"/>
        <v>34873</v>
      </c>
      <c r="AG171" s="111">
        <f t="shared" si="78"/>
        <v>0</v>
      </c>
      <c r="AH171" s="111">
        <f t="shared" si="78"/>
        <v>0</v>
      </c>
      <c r="AI171" s="111">
        <f t="shared" si="78"/>
        <v>0</v>
      </c>
      <c r="AJ171" s="111">
        <f t="shared" si="78"/>
        <v>0</v>
      </c>
      <c r="AK171" s="69">
        <f t="shared" si="78"/>
        <v>0</v>
      </c>
      <c r="AL171" s="111">
        <f t="shared" si="78"/>
        <v>0</v>
      </c>
      <c r="AM171" s="69">
        <f t="shared" si="78"/>
        <v>0</v>
      </c>
      <c r="AN171" s="111">
        <f t="shared" si="78"/>
        <v>0</v>
      </c>
      <c r="AO171" s="69">
        <f t="shared" si="78"/>
        <v>0</v>
      </c>
    </row>
    <row r="172" spans="2:43" x14ac:dyDescent="0.35">
      <c r="C172" s="78"/>
      <c r="F172" t="s">
        <v>160</v>
      </c>
      <c r="G172" t="s">
        <v>271</v>
      </c>
      <c r="H172" s="41"/>
      <c r="J172" s="111">
        <f t="shared" si="75"/>
        <v>0</v>
      </c>
      <c r="K172" s="111">
        <f t="shared" ref="K172:AO172" si="79">ROUND( K143, $H99)</f>
        <v>0</v>
      </c>
      <c r="L172" s="111">
        <f t="shared" si="79"/>
        <v>0</v>
      </c>
      <c r="M172" s="111">
        <f t="shared" si="79"/>
        <v>0</v>
      </c>
      <c r="N172" s="111">
        <f t="shared" si="79"/>
        <v>0</v>
      </c>
      <c r="O172" s="111">
        <f t="shared" si="79"/>
        <v>0</v>
      </c>
      <c r="P172" s="111">
        <f t="shared" si="79"/>
        <v>0</v>
      </c>
      <c r="Q172" s="111">
        <f t="shared" si="79"/>
        <v>0</v>
      </c>
      <c r="R172" s="111">
        <f t="shared" si="79"/>
        <v>1.87</v>
      </c>
      <c r="S172" s="111">
        <f t="shared" si="79"/>
        <v>1.87</v>
      </c>
      <c r="T172" s="111">
        <f t="shared" si="79"/>
        <v>1.87</v>
      </c>
      <c r="U172" s="111">
        <f t="shared" si="79"/>
        <v>1.87</v>
      </c>
      <c r="V172" s="111">
        <f t="shared" si="79"/>
        <v>1.87</v>
      </c>
      <c r="W172" s="111">
        <f t="shared" si="79"/>
        <v>4.08</v>
      </c>
      <c r="X172" s="111">
        <f t="shared" si="79"/>
        <v>4.08</v>
      </c>
      <c r="Y172" s="111">
        <f t="shared" si="79"/>
        <v>4.08</v>
      </c>
      <c r="Z172" s="111">
        <f t="shared" si="79"/>
        <v>4.08</v>
      </c>
      <c r="AA172" s="111">
        <f t="shared" si="79"/>
        <v>4.08</v>
      </c>
      <c r="AB172" s="111">
        <f t="shared" si="79"/>
        <v>5.51</v>
      </c>
      <c r="AC172" s="111">
        <f t="shared" si="79"/>
        <v>5.51</v>
      </c>
      <c r="AD172" s="111">
        <f t="shared" si="79"/>
        <v>5.51</v>
      </c>
      <c r="AE172" s="111">
        <f t="shared" si="79"/>
        <v>5.51</v>
      </c>
      <c r="AF172" s="111">
        <f t="shared" si="79"/>
        <v>5.51</v>
      </c>
      <c r="AG172" s="111">
        <f t="shared" si="79"/>
        <v>0</v>
      </c>
      <c r="AH172" s="111">
        <f t="shared" si="79"/>
        <v>0</v>
      </c>
      <c r="AI172" s="111">
        <f t="shared" si="79"/>
        <v>0</v>
      </c>
      <c r="AJ172" s="111">
        <f t="shared" si="79"/>
        <v>0</v>
      </c>
      <c r="AK172" s="69">
        <f t="shared" si="79"/>
        <v>0</v>
      </c>
      <c r="AL172" s="111">
        <f t="shared" si="79"/>
        <v>0</v>
      </c>
      <c r="AM172" s="69">
        <f t="shared" si="79"/>
        <v>0</v>
      </c>
      <c r="AN172" s="111">
        <f t="shared" si="79"/>
        <v>0</v>
      </c>
      <c r="AO172" s="69">
        <f t="shared" si="79"/>
        <v>0</v>
      </c>
    </row>
    <row r="173" spans="2:43" x14ac:dyDescent="0.35">
      <c r="C173" s="78"/>
      <c r="F173" t="s">
        <v>161</v>
      </c>
      <c r="G173" t="s">
        <v>271</v>
      </c>
      <c r="H173" s="41"/>
      <c r="J173" s="111">
        <f t="shared" si="75"/>
        <v>0</v>
      </c>
      <c r="K173" s="111">
        <f t="shared" ref="K173:AO173" si="80">ROUND( K144, $H100)</f>
        <v>0</v>
      </c>
      <c r="L173" s="111">
        <f t="shared" si="80"/>
        <v>0</v>
      </c>
      <c r="M173" s="111">
        <f t="shared" si="80"/>
        <v>0</v>
      </c>
      <c r="N173" s="111">
        <f t="shared" si="80"/>
        <v>0</v>
      </c>
      <c r="O173" s="111">
        <f t="shared" si="80"/>
        <v>0</v>
      </c>
      <c r="P173" s="111">
        <f t="shared" si="80"/>
        <v>0</v>
      </c>
      <c r="Q173" s="111">
        <f t="shared" si="80"/>
        <v>0</v>
      </c>
      <c r="R173" s="111">
        <f t="shared" si="80"/>
        <v>3.26</v>
      </c>
      <c r="S173" s="111">
        <f t="shared" si="80"/>
        <v>3.26</v>
      </c>
      <c r="T173" s="111">
        <f t="shared" si="80"/>
        <v>3.26</v>
      </c>
      <c r="U173" s="111">
        <f t="shared" si="80"/>
        <v>3.26</v>
      </c>
      <c r="V173" s="111">
        <f t="shared" si="80"/>
        <v>3.26</v>
      </c>
      <c r="W173" s="111">
        <f t="shared" si="80"/>
        <v>5.23</v>
      </c>
      <c r="X173" s="111">
        <f t="shared" si="80"/>
        <v>5.23</v>
      </c>
      <c r="Y173" s="111">
        <f t="shared" si="80"/>
        <v>5.23</v>
      </c>
      <c r="Z173" s="111">
        <f t="shared" si="80"/>
        <v>5.23</v>
      </c>
      <c r="AA173" s="111">
        <f t="shared" si="80"/>
        <v>5.23</v>
      </c>
      <c r="AB173" s="111">
        <f t="shared" si="80"/>
        <v>6.57</v>
      </c>
      <c r="AC173" s="111">
        <f t="shared" si="80"/>
        <v>6.57</v>
      </c>
      <c r="AD173" s="111">
        <f t="shared" si="80"/>
        <v>6.57</v>
      </c>
      <c r="AE173" s="111">
        <f t="shared" si="80"/>
        <v>6.57</v>
      </c>
      <c r="AF173" s="111">
        <f t="shared" si="80"/>
        <v>6.57</v>
      </c>
      <c r="AG173" s="111">
        <f t="shared" si="80"/>
        <v>0</v>
      </c>
      <c r="AH173" s="111">
        <f t="shared" si="80"/>
        <v>0</v>
      </c>
      <c r="AI173" s="111">
        <f t="shared" si="80"/>
        <v>0</v>
      </c>
      <c r="AJ173" s="111">
        <f t="shared" si="80"/>
        <v>0</v>
      </c>
      <c r="AK173" s="69">
        <f t="shared" si="80"/>
        <v>0</v>
      </c>
      <c r="AL173" s="111">
        <f t="shared" si="80"/>
        <v>0</v>
      </c>
      <c r="AM173" s="69">
        <f t="shared" si="80"/>
        <v>0</v>
      </c>
      <c r="AN173" s="111">
        <f t="shared" si="80"/>
        <v>0</v>
      </c>
      <c r="AO173" s="69">
        <f t="shared" si="80"/>
        <v>0</v>
      </c>
    </row>
    <row r="174" spans="2:43" x14ac:dyDescent="0.35">
      <c r="C174" s="78"/>
      <c r="F174" s="28" t="s">
        <v>162</v>
      </c>
      <c r="G174" s="28" t="s">
        <v>272</v>
      </c>
      <c r="H174" s="272"/>
      <c r="I174" s="258"/>
      <c r="J174" s="262">
        <f t="shared" si="75"/>
        <v>0</v>
      </c>
      <c r="K174" s="262">
        <f t="shared" ref="K174:AO174" si="81">ROUND( K145, $H101)</f>
        <v>0</v>
      </c>
      <c r="L174" s="262">
        <f t="shared" si="81"/>
        <v>0</v>
      </c>
      <c r="M174" s="262">
        <f t="shared" si="81"/>
        <v>0</v>
      </c>
      <c r="N174" s="262">
        <f t="shared" si="81"/>
        <v>0</v>
      </c>
      <c r="O174" s="262">
        <f t="shared" si="81"/>
        <v>0</v>
      </c>
      <c r="P174" s="262">
        <f t="shared" si="81"/>
        <v>0</v>
      </c>
      <c r="Q174" s="262">
        <f t="shared" si="81"/>
        <v>0</v>
      </c>
      <c r="R174" s="262">
        <f t="shared" si="81"/>
        <v>0.111</v>
      </c>
      <c r="S174" s="262">
        <f t="shared" si="81"/>
        <v>0.111</v>
      </c>
      <c r="T174" s="262">
        <f t="shared" si="81"/>
        <v>0.111</v>
      </c>
      <c r="U174" s="262">
        <f t="shared" si="81"/>
        <v>0.111</v>
      </c>
      <c r="V174" s="262">
        <f t="shared" si="81"/>
        <v>0.111</v>
      </c>
      <c r="W174" s="262">
        <f t="shared" si="81"/>
        <v>0.10100000000000001</v>
      </c>
      <c r="X174" s="262">
        <f t="shared" si="81"/>
        <v>0.10100000000000001</v>
      </c>
      <c r="Y174" s="262">
        <f t="shared" si="81"/>
        <v>0.10100000000000001</v>
      </c>
      <c r="Z174" s="262">
        <f t="shared" si="81"/>
        <v>0.10100000000000001</v>
      </c>
      <c r="AA174" s="262">
        <f t="shared" si="81"/>
        <v>0.10100000000000001</v>
      </c>
      <c r="AB174" s="262">
        <f t="shared" si="81"/>
        <v>8.7999999999999995E-2</v>
      </c>
      <c r="AC174" s="262">
        <f t="shared" si="81"/>
        <v>8.7999999999999995E-2</v>
      </c>
      <c r="AD174" s="262">
        <f t="shared" si="81"/>
        <v>8.7999999999999995E-2</v>
      </c>
      <c r="AE174" s="262">
        <f t="shared" si="81"/>
        <v>8.7999999999999995E-2</v>
      </c>
      <c r="AF174" s="262">
        <f t="shared" si="81"/>
        <v>8.7999999999999995E-2</v>
      </c>
      <c r="AG174" s="262">
        <f t="shared" si="81"/>
        <v>0</v>
      </c>
      <c r="AH174" s="262">
        <f t="shared" si="81"/>
        <v>0</v>
      </c>
      <c r="AI174" s="262">
        <f t="shared" si="81"/>
        <v>0</v>
      </c>
      <c r="AJ174" s="262">
        <f t="shared" si="81"/>
        <v>0.254</v>
      </c>
      <c r="AK174" s="259">
        <f t="shared" si="81"/>
        <v>0</v>
      </c>
      <c r="AL174" s="262">
        <f t="shared" si="81"/>
        <v>0.21</v>
      </c>
      <c r="AM174" s="259">
        <f t="shared" si="81"/>
        <v>0</v>
      </c>
      <c r="AN174" s="262">
        <f t="shared" si="81"/>
        <v>0.182</v>
      </c>
      <c r="AO174" s="259">
        <f t="shared" si="81"/>
        <v>0</v>
      </c>
      <c r="AP174" s="256"/>
      <c r="AQ174" s="256"/>
    </row>
    <row r="175" spans="2:43" x14ac:dyDescent="0.35">
      <c r="C175" s="78"/>
    </row>
    <row r="176" spans="2:43" x14ac:dyDescent="0.35">
      <c r="B176" s="25" t="s">
        <v>231</v>
      </c>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8" spans="2:43" x14ac:dyDescent="0.35">
      <c r="E178" t="s">
        <v>232</v>
      </c>
      <c r="G178" s="6" t="s">
        <v>55</v>
      </c>
      <c r="H178" s="93">
        <f t="array" ref="H178">SUM(IF(ISERROR(H20:AO174), 1))</f>
        <v>0</v>
      </c>
    </row>
    <row r="180" spans="2:43" x14ac:dyDescent="0.35">
      <c r="B180" s="25" t="s">
        <v>106</v>
      </c>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row>
  </sheetData>
  <sheetProtection sheet="1" objects="1" formatCells="0" formatColumns="0" formatRows="0" sort="0" autoFilter="0"/>
  <conditionalFormatting sqref="A4:I4 AP4:XFD4">
    <cfRule type="expression" dxfId="23" priority="10">
      <formula>LEFT($A$4,1) &lt;&gt; "0"</formula>
    </cfRule>
  </conditionalFormatting>
  <conditionalFormatting sqref="R4:AF4">
    <cfRule type="expression" dxfId="22" priority="9">
      <formula>LEFT($A$4,1) &lt;&gt; "0"</formula>
    </cfRule>
  </conditionalFormatting>
  <conditionalFormatting sqref="L4:Q4">
    <cfRule type="expression" dxfId="21" priority="8">
      <formula>LEFT($A$4,1) &lt;&gt; "0"</formula>
    </cfRule>
  </conditionalFormatting>
  <conditionalFormatting sqref="J4:K4">
    <cfRule type="expression" dxfId="20" priority="7">
      <formula>LEFT($A$4,1) &lt;&gt; "0"</formula>
    </cfRule>
  </conditionalFormatting>
  <conditionalFormatting sqref="AG4">
    <cfRule type="expression" dxfId="19" priority="6">
      <formula>LEFT($A$4,1) &lt;&gt; "0"</formula>
    </cfRule>
  </conditionalFormatting>
  <conditionalFormatting sqref="AH4:AI4">
    <cfRule type="expression" dxfId="18" priority="5">
      <formula>LEFT($A$4,1) &lt;&gt; "0"</formula>
    </cfRule>
  </conditionalFormatting>
  <conditionalFormatting sqref="AJ4:AK4">
    <cfRule type="expression" dxfId="17" priority="4">
      <formula>LEFT($A$4,1) &lt;&gt; "0"</formula>
    </cfRule>
  </conditionalFormatting>
  <conditionalFormatting sqref="AL4:AM4">
    <cfRule type="expression" dxfId="16" priority="3">
      <formula>LEFT($A$4,1) &lt;&gt; "0"</formula>
    </cfRule>
  </conditionalFormatting>
  <conditionalFormatting sqref="AN4:AO4">
    <cfRule type="expression" dxfId="15" priority="2">
      <formula>LEFT($A$4,1) &lt;&gt; "0"</formula>
    </cfRule>
  </conditionalFormatting>
  <conditionalFormatting sqref="H178">
    <cfRule type="cellIs" dxfId="14" priority="1" operator="greaterThan">
      <formula>0</formula>
    </cfRule>
  </conditionalFormatting>
  <hyperlinks>
    <hyperlink ref="B5:F5" location="'Model map'!A1" display="Click here to return to model map" xr:uid="{00000000-0004-0000-1800-000000000000}"/>
    <hyperlink ref="AQ94" location="'Aggreg'!B314" display="x1 = 3308. Unit rate 1 p/kWh (total) (in Summary of charges before revenue matching)" xr:uid="{00000000-0004-0000-1800-000001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41" width="17" customWidth="1"/>
    <col min="42" max="42" width="2.453125" customWidth="1"/>
    <col min="43" max="43" width="50.54296875" customWidth="1"/>
    <col min="44" max="44" width="2.453125" customWidth="1"/>
    <col min="45" max="80" width="0" hidden="1" customWidth="1"/>
    <col min="81" max="16384" width="9.453125" hidden="1"/>
  </cols>
  <sheetData>
    <row r="1" spans="1:43" s="1" customFormat="1" x14ac:dyDescent="0.35">
      <c r="A1" s="1" t="str">
        <f ca="1">MID(CELL("filename",A1),FIND("]",CELL("filename",A1))+1,255)</f>
        <v>Net revenue summary</v>
      </c>
    </row>
    <row r="2" spans="1:43" s="1" customFormat="1" x14ac:dyDescent="0.35">
      <c r="A2" s="1" t="str">
        <f>Cover!D21&amp;" - "&amp;Cover!D23</f>
        <v>Southern Electric Power Distribution - Final</v>
      </c>
    </row>
    <row r="3" spans="1:43" s="5" customFormat="1" x14ac:dyDescent="0.35">
      <c r="A3" s="5" t="str">
        <f>Cover!D2&amp;" - "&amp;Cover!D8&amp;" v"&amp;Cover!D10&amp;" - "&amp;Cover!D19</f>
        <v>CDCM charging model - Release for charge setting v9 - 2024/25</v>
      </c>
    </row>
    <row r="4" spans="1:43" x14ac:dyDescent="0.35">
      <c r="A4" s="11" t="str">
        <f>H211 &amp; IF(H211 = 1, " issue", " issues") &amp;" identified in checks on this sheet"</f>
        <v>0 issues identified in checks on this sheet</v>
      </c>
      <c r="B4" s="12"/>
      <c r="C4" s="12"/>
      <c r="D4" s="12"/>
      <c r="E4" s="12"/>
      <c r="F4" s="12"/>
      <c r="G4" s="12"/>
      <c r="H4" s="13"/>
      <c r="I4" s="13"/>
    </row>
    <row r="5" spans="1:43" ht="43.5" x14ac:dyDescent="0.35">
      <c r="B5" s="49" t="s">
        <v>142</v>
      </c>
      <c r="C5" s="50"/>
      <c r="D5" s="50"/>
      <c r="E5" s="50"/>
      <c r="F5" s="50"/>
      <c r="G5" s="51" t="s">
        <v>143</v>
      </c>
      <c r="H5" s="52"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7" spans="1:43" x14ac:dyDescent="0.3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35">
      <c r="C9" s="24" t="s">
        <v>756</v>
      </c>
    </row>
    <row r="10" spans="1:43" x14ac:dyDescent="0.35">
      <c r="C10" s="23"/>
    </row>
    <row r="11" spans="1:43" x14ac:dyDescent="0.35">
      <c r="B11" s="25" t="s">
        <v>757</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35">
      <c r="D12" s="2"/>
      <c r="E12" s="2"/>
    </row>
    <row r="13" spans="1:43" x14ac:dyDescent="0.35">
      <c r="C13" s="26" t="str">
        <f ca="1">INDEX('Version control'!$H$38:$H$61,MATCH($A$1,'Version control'!$F$38:$F$61,0),1)&amp;"-A: Volume forecasts"</f>
        <v>Section 118-A: Volume forecasts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4" spans="1:43" x14ac:dyDescent="0.35">
      <c r="D14" s="27"/>
    </row>
    <row r="15" spans="1:43" x14ac:dyDescent="0.35">
      <c r="C15" s="41"/>
      <c r="D15" s="41"/>
      <c r="E15" s="356" t="s">
        <v>1005</v>
      </c>
      <c r="G15" s="356" t="s">
        <v>149</v>
      </c>
      <c r="J15" s="41">
        <f>'Fixed inputs'!J170</f>
        <v>1</v>
      </c>
      <c r="K15" s="41">
        <f>'Fixed inputs'!K170</f>
        <v>2</v>
      </c>
      <c r="L15" s="41">
        <f>'Fixed inputs'!L170</f>
        <v>3</v>
      </c>
      <c r="M15" s="41">
        <f>'Fixed inputs'!M170</f>
        <v>3</v>
      </c>
      <c r="N15" s="41">
        <f>'Fixed inputs'!N170</f>
        <v>3</v>
      </c>
      <c r="O15" s="41">
        <f>'Fixed inputs'!O170</f>
        <v>3</v>
      </c>
      <c r="P15" s="41">
        <f>'Fixed inputs'!P170</f>
        <v>3</v>
      </c>
      <c r="Q15" s="41">
        <f>'Fixed inputs'!Q170</f>
        <v>4</v>
      </c>
      <c r="R15" s="41">
        <f>'Fixed inputs'!R170</f>
        <v>5</v>
      </c>
      <c r="S15" s="41">
        <f>'Fixed inputs'!S170</f>
        <v>5</v>
      </c>
      <c r="T15" s="41">
        <f>'Fixed inputs'!T170</f>
        <v>5</v>
      </c>
      <c r="U15" s="41">
        <f>'Fixed inputs'!U170</f>
        <v>5</v>
      </c>
      <c r="V15" s="41">
        <f>'Fixed inputs'!V170</f>
        <v>5</v>
      </c>
      <c r="W15" s="41">
        <f>'Fixed inputs'!W170</f>
        <v>6</v>
      </c>
      <c r="X15" s="41">
        <f>'Fixed inputs'!X170</f>
        <v>6</v>
      </c>
      <c r="Y15" s="41">
        <f>'Fixed inputs'!Y170</f>
        <v>6</v>
      </c>
      <c r="Z15" s="41">
        <f>'Fixed inputs'!Z170</f>
        <v>6</v>
      </c>
      <c r="AA15" s="41">
        <f>'Fixed inputs'!AA170</f>
        <v>6</v>
      </c>
      <c r="AB15" s="41">
        <f>'Fixed inputs'!AB170</f>
        <v>7</v>
      </c>
      <c r="AC15" s="41">
        <f>'Fixed inputs'!AC170</f>
        <v>7</v>
      </c>
      <c r="AD15" s="41">
        <f>'Fixed inputs'!AD170</f>
        <v>7</v>
      </c>
      <c r="AE15" s="41">
        <f>'Fixed inputs'!AE170</f>
        <v>7</v>
      </c>
      <c r="AF15" s="41">
        <f>'Fixed inputs'!AF170</f>
        <v>7</v>
      </c>
      <c r="AG15" s="41">
        <f>'Fixed inputs'!AG170</f>
        <v>8</v>
      </c>
      <c r="AH15" s="41">
        <f>'Fixed inputs'!AH170</f>
        <v>9</v>
      </c>
      <c r="AI15" s="41">
        <f>'Fixed inputs'!AI170</f>
        <v>10</v>
      </c>
      <c r="AJ15" s="41">
        <f>'Fixed inputs'!AJ170</f>
        <v>11</v>
      </c>
      <c r="AK15" s="41">
        <f>'Fixed inputs'!AK170</f>
        <v>12</v>
      </c>
      <c r="AL15" s="41">
        <f>'Fixed inputs'!AL170</f>
        <v>13</v>
      </c>
      <c r="AM15" s="41">
        <f>'Fixed inputs'!AM170</f>
        <v>14</v>
      </c>
      <c r="AN15" s="41">
        <f>'Fixed inputs'!AN170</f>
        <v>15</v>
      </c>
      <c r="AO15" s="41">
        <f>'Fixed inputs'!AO170</f>
        <v>16</v>
      </c>
    </row>
    <row r="16" spans="1:43" x14ac:dyDescent="0.35">
      <c r="E16" s="23"/>
      <c r="G16" s="23"/>
    </row>
    <row r="17" spans="3:43" x14ac:dyDescent="0.35">
      <c r="C17" s="41"/>
      <c r="D17" s="41"/>
      <c r="E17" s="356" t="s">
        <v>939</v>
      </c>
      <c r="G17" s="356" t="s">
        <v>149</v>
      </c>
      <c r="J17" s="41">
        <f>'Fixed inputs'!J169</f>
        <v>1</v>
      </c>
      <c r="K17" s="41">
        <f>'Fixed inputs'!K169</f>
        <v>0</v>
      </c>
      <c r="L17" s="41">
        <f>'Fixed inputs'!L169</f>
        <v>0</v>
      </c>
      <c r="M17" s="41">
        <f>'Fixed inputs'!M169</f>
        <v>1</v>
      </c>
      <c r="N17" s="41">
        <f>'Fixed inputs'!N169</f>
        <v>2</v>
      </c>
      <c r="O17" s="41">
        <f>'Fixed inputs'!O169</f>
        <v>3</v>
      </c>
      <c r="P17" s="41">
        <f>'Fixed inputs'!P169</f>
        <v>4</v>
      </c>
      <c r="Q17" s="41">
        <f>'Fixed inputs'!Q169</f>
        <v>0</v>
      </c>
      <c r="R17" s="41">
        <f>'Fixed inputs'!R169</f>
        <v>0</v>
      </c>
      <c r="S17" s="41">
        <f>'Fixed inputs'!S169</f>
        <v>1</v>
      </c>
      <c r="T17" s="41">
        <f>'Fixed inputs'!T169</f>
        <v>2</v>
      </c>
      <c r="U17" s="41">
        <f>'Fixed inputs'!U169</f>
        <v>3</v>
      </c>
      <c r="V17" s="41">
        <f>'Fixed inputs'!V169</f>
        <v>4</v>
      </c>
      <c r="W17" s="41">
        <f>'Fixed inputs'!W169</f>
        <v>0</v>
      </c>
      <c r="X17" s="41">
        <f>'Fixed inputs'!X169</f>
        <v>1</v>
      </c>
      <c r="Y17" s="41">
        <f>'Fixed inputs'!Y169</f>
        <v>2</v>
      </c>
      <c r="Z17" s="41">
        <f>'Fixed inputs'!Z169</f>
        <v>3</v>
      </c>
      <c r="AA17" s="41">
        <f>'Fixed inputs'!AA169</f>
        <v>4</v>
      </c>
      <c r="AB17" s="41">
        <f>'Fixed inputs'!AB169</f>
        <v>0</v>
      </c>
      <c r="AC17" s="41">
        <f>'Fixed inputs'!AC169</f>
        <v>1</v>
      </c>
      <c r="AD17" s="41">
        <f>'Fixed inputs'!AD169</f>
        <v>2</v>
      </c>
      <c r="AE17" s="41">
        <f>'Fixed inputs'!AE169</f>
        <v>3</v>
      </c>
      <c r="AF17" s="41">
        <f>'Fixed inputs'!AF169</f>
        <v>4</v>
      </c>
      <c r="AG17" s="41">
        <f>'Fixed inputs'!AG169</f>
        <v>1</v>
      </c>
      <c r="AH17" s="41">
        <f>'Fixed inputs'!AH169</f>
        <v>0</v>
      </c>
      <c r="AI17" s="41">
        <f>'Fixed inputs'!AI169</f>
        <v>0</v>
      </c>
      <c r="AJ17" s="41">
        <f>'Fixed inputs'!AJ169</f>
        <v>0</v>
      </c>
      <c r="AK17" s="41">
        <f>'Fixed inputs'!AK169</f>
        <v>0</v>
      </c>
      <c r="AL17" s="41">
        <f>'Fixed inputs'!AL169</f>
        <v>0</v>
      </c>
      <c r="AM17" s="41">
        <f>'Fixed inputs'!AM169</f>
        <v>0</v>
      </c>
      <c r="AN17" s="41">
        <f>'Fixed inputs'!AN169</f>
        <v>0</v>
      </c>
      <c r="AO17" s="41">
        <f>'Fixed inputs'!AO169</f>
        <v>0</v>
      </c>
    </row>
    <row r="18" spans="3:43" x14ac:dyDescent="0.35">
      <c r="D18" s="27"/>
    </row>
    <row r="19" spans="3:43" x14ac:dyDescent="0.35">
      <c r="E19" s="27" t="s">
        <v>245</v>
      </c>
      <c r="I19" t="s">
        <v>154</v>
      </c>
      <c r="AQ19" t="s">
        <v>246</v>
      </c>
    </row>
    <row r="20" spans="3:43" x14ac:dyDescent="0.35">
      <c r="E20" s="27"/>
      <c r="F20" s="24" t="s">
        <v>1034</v>
      </c>
    </row>
    <row r="21" spans="3:43" x14ac:dyDescent="0.35">
      <c r="E21" s="27"/>
      <c r="F21" s="24" t="s">
        <v>1030</v>
      </c>
    </row>
    <row r="22" spans="3:43" x14ac:dyDescent="0.35">
      <c r="F22" s="68" t="s">
        <v>247</v>
      </c>
      <c r="G22" s="68" t="s">
        <v>207</v>
      </c>
      <c r="H22" s="310">
        <v>0</v>
      </c>
      <c r="I22" s="19"/>
      <c r="J22" s="183">
        <f>INDEX('Volume adjustments'!$J$527:$Y$567,J$17 + 1 + $H22*$H$28, J$15)</f>
        <v>1178510.0378350527</v>
      </c>
      <c r="K22" s="183">
        <f>INDEX('Volume adjustments'!$J$527:$Y$567,K$17 + 1 + $H22*$H$28, K$15)</f>
        <v>327.1864201957822</v>
      </c>
      <c r="L22" s="183">
        <f>INDEX('Volume adjustments'!$J$527:$Y$567,L$17 + 1 + $H22*$H$28, L$15)</f>
        <v>21.322867534041706</v>
      </c>
      <c r="M22" s="183">
        <f>INDEX('Volume adjustments'!$J$527:$Y$567,M$17 + 1 + $H22*$H$28, M$15)</f>
        <v>25441.776643061443</v>
      </c>
      <c r="N22" s="183">
        <f>INDEX('Volume adjustments'!$J$527:$Y$567,N$17 + 1 + $H22*$H$28, N$15)</f>
        <v>52914.692479531048</v>
      </c>
      <c r="O22" s="183">
        <f>INDEX('Volume adjustments'!$J$527:$Y$567,O$17 + 1 + $H22*$H$28, O$15)</f>
        <v>61009.229305397719</v>
      </c>
      <c r="P22" s="183">
        <f>INDEX('Volume adjustments'!$J$527:$Y$567,P$17 + 1 + $H22*$H$28, P$15)</f>
        <v>165742.8558292884</v>
      </c>
      <c r="Q22" s="183">
        <f>INDEX('Volume adjustments'!$J$527:$Y$567,Q$17 + 1 + $H22*$H$28, Q$15)</f>
        <v>600.6058735440879</v>
      </c>
      <c r="R22" s="183">
        <f>INDEX('Volume adjustments'!$J$527:$Y$567,R$17 + 1 + $H22*$H$28, R$15)</f>
        <v>78.59078647039631</v>
      </c>
      <c r="S22" s="183">
        <f>INDEX('Volume adjustments'!$J$527:$Y$567,S$17 + 1 + $H22*$H$28, S$15)</f>
        <v>92998.855294239955</v>
      </c>
      <c r="T22" s="183">
        <f>INDEX('Volume adjustments'!$J$527:$Y$567,T$17 + 1 + $H22*$H$28, T$15)</f>
        <v>91368.864784198726</v>
      </c>
      <c r="U22" s="183">
        <f>INDEX('Volume adjustments'!$J$527:$Y$567,U$17 + 1 + $H22*$H$28, U$15)</f>
        <v>73655.233429662068</v>
      </c>
      <c r="V22" s="183">
        <f>INDEX('Volume adjustments'!$J$527:$Y$567,V$17 + 1 + $H22*$H$28, V$15)</f>
        <v>241925.66911120774</v>
      </c>
      <c r="W22" s="183">
        <f>INDEX('Volume adjustments'!$J$527:$Y$567,W$17 + 1 + $H22*$H$28, W$15)</f>
        <v>0</v>
      </c>
      <c r="X22" s="183">
        <f>INDEX('Volume adjustments'!$J$527:$Y$567,X$17 + 1 + $H22*$H$28, X$15)</f>
        <v>101.05515913034712</v>
      </c>
      <c r="Y22" s="183">
        <f>INDEX('Volume adjustments'!$J$527:$Y$567,Y$17 + 1 + $H22*$H$28, Y$15)</f>
        <v>1318.0565416784348</v>
      </c>
      <c r="Z22" s="183">
        <f>INDEX('Volume adjustments'!$J$527:$Y$567,Z$17 + 1 + $H22*$H$28, Z$15)</f>
        <v>2018.331463068005</v>
      </c>
      <c r="AA22" s="183">
        <f>INDEX('Volume adjustments'!$J$527:$Y$567,AA$17 + 1 + $H22*$H$28, AA$15)</f>
        <v>25164.837795281204</v>
      </c>
      <c r="AB22" s="183">
        <f>INDEX('Volume adjustments'!$J$527:$Y$567,AB$17 + 1 + $H22*$H$28, AB$15)</f>
        <v>376.43364027248634</v>
      </c>
      <c r="AC22" s="183">
        <f>INDEX('Volume adjustments'!$J$527:$Y$567,AC$17 + 1 + $H22*$H$28, AC$15)</f>
        <v>23178.770044799025</v>
      </c>
      <c r="AD22" s="183">
        <f>INDEX('Volume adjustments'!$J$527:$Y$567,AD$17 + 1 + $H22*$H$28, AD$15)</f>
        <v>87260.01683194864</v>
      </c>
      <c r="AE22" s="183">
        <f>INDEX('Volume adjustments'!$J$527:$Y$567,AE$17 + 1 + $H22*$H$28, AE$15)</f>
        <v>68994.102802540176</v>
      </c>
      <c r="AF22" s="183">
        <f>INDEX('Volume adjustments'!$J$527:$Y$567,AF$17 + 1 + $H22*$H$28, AF$15)</f>
        <v>199820.35159933308</v>
      </c>
      <c r="AG22" s="183">
        <f>INDEX('Volume adjustments'!$J$527:$Y$567,AG$17 + 1 + $H22*$H$28, AG$15)</f>
        <v>9329.8278943829773</v>
      </c>
      <c r="AH22" s="183">
        <f>INDEX('Volume adjustments'!$J$527:$Y$567,AH$17 + 1 + $H22*$H$28, AH$15)</f>
        <v>923.34399999999982</v>
      </c>
      <c r="AI22" s="183">
        <f>INDEX('Volume adjustments'!$J$527:$Y$567,AI$17 + 1 + $H22*$H$28, AI$15)</f>
        <v>19.360999999999997</v>
      </c>
      <c r="AJ22" s="183">
        <f>INDEX('Volume adjustments'!$J$527:$Y$567,AJ$17 + 1 + $H22*$H$28, AJ$15)</f>
        <v>3318.3707999999997</v>
      </c>
      <c r="AK22" s="183">
        <f>INDEX('Volume adjustments'!$J$527:$Y$567,AK$17 + 1 + $H22*$H$28, AK$15)</f>
        <v>0</v>
      </c>
      <c r="AL22" s="183">
        <f>INDEX('Volume adjustments'!$J$527:$Y$567,AL$17 + 1 + $H22*$H$28, AL$15)</f>
        <v>0</v>
      </c>
      <c r="AM22" s="183">
        <f>INDEX('Volume adjustments'!$J$527:$Y$567,AM$17 + 1 + $H22*$H$28, AM$15)</f>
        <v>0</v>
      </c>
      <c r="AN22" s="183">
        <f>INDEX('Volume adjustments'!$J$527:$Y$567,AN$17 + 1 + $H22*$H$28, AN$15)</f>
        <v>83699.301999999996</v>
      </c>
      <c r="AO22" s="183">
        <f>INDEX('Volume adjustments'!$J$527:$Y$567,AO$17 + 1 + $H22*$H$28, AO$15)</f>
        <v>0</v>
      </c>
    </row>
    <row r="23" spans="3:43" x14ac:dyDescent="0.35">
      <c r="E23" s="23"/>
      <c r="F23" s="62" t="s">
        <v>248</v>
      </c>
      <c r="G23" s="62" t="s">
        <v>207</v>
      </c>
      <c r="H23" s="355">
        <v>1</v>
      </c>
      <c r="J23" s="323">
        <f>INDEX('Volume adjustments'!$J$527:$Y$567,J$17 + 1 + $H23*$H$28, J$15)</f>
        <v>5172352.556943397</v>
      </c>
      <c r="K23" s="323">
        <f>INDEX('Volume adjustments'!$J$527:$Y$567,K$17 + 1 + $H23*$H$28, K$15)</f>
        <v>37209.495096629304</v>
      </c>
      <c r="L23" s="323">
        <f>INDEX('Volume adjustments'!$J$527:$Y$567,L$17 + 1 + $H23*$H$28, L$15)</f>
        <v>134.7979129795242</v>
      </c>
      <c r="M23" s="323">
        <f>INDEX('Volume adjustments'!$J$527:$Y$567,M$17 + 1 + $H23*$H$28, M$15)</f>
        <v>160836.64115535744</v>
      </c>
      <c r="N23" s="323">
        <f>INDEX('Volume adjustments'!$J$527:$Y$567,N$17 + 1 + $H23*$H$28, N$15)</f>
        <v>334513.64366479765</v>
      </c>
      <c r="O23" s="323">
        <f>INDEX('Volume adjustments'!$J$527:$Y$567,O$17 + 1 + $H23*$H$28, O$15)</f>
        <v>385685.31037054252</v>
      </c>
      <c r="P23" s="323">
        <f>INDEX('Volume adjustments'!$J$527:$Y$567,P$17 + 1 + $H23*$H$28, P$15)</f>
        <v>1047785.4829509136</v>
      </c>
      <c r="Q23" s="323">
        <f>INDEX('Volume adjustments'!$J$527:$Y$567,Q$17 + 1 + $H23*$H$28, Q$15)</f>
        <v>7794.8644051182664</v>
      </c>
      <c r="R23" s="323">
        <f>INDEX('Volume adjustments'!$J$527:$Y$567,R$17 + 1 + $H23*$H$28, R$15)</f>
        <v>452.42738864355545</v>
      </c>
      <c r="S23" s="323">
        <f>INDEX('Volume adjustments'!$J$527:$Y$567,S$17 + 1 + $H23*$H$28, S$15)</f>
        <v>535371.01659444312</v>
      </c>
      <c r="T23" s="323">
        <f>INDEX('Volume adjustments'!$J$527:$Y$567,T$17 + 1 + $H23*$H$28, T$15)</f>
        <v>525987.57124300208</v>
      </c>
      <c r="U23" s="323">
        <f>INDEX('Volume adjustments'!$J$527:$Y$567,U$17 + 1 + $H23*$H$28, U$15)</f>
        <v>424014.651298418</v>
      </c>
      <c r="V23" s="323">
        <f>INDEX('Volume adjustments'!$J$527:$Y$567,V$17 + 1 + $H23*$H$28, V$15)</f>
        <v>1392705.2220435254</v>
      </c>
      <c r="W23" s="323">
        <f>INDEX('Volume adjustments'!$J$527:$Y$567,W$17 + 1 + $H23*$H$28, W$15)</f>
        <v>0</v>
      </c>
      <c r="X23" s="323">
        <f>INDEX('Volume adjustments'!$J$527:$Y$567,X$17 + 1 + $H23*$H$28, X$15)</f>
        <v>573.15083013354376</v>
      </c>
      <c r="Y23" s="323">
        <f>INDEX('Volume adjustments'!$J$527:$Y$567,Y$17 + 1 + $H23*$H$28, Y$15)</f>
        <v>7475.5728210919278</v>
      </c>
      <c r="Z23" s="323">
        <f>INDEX('Volume adjustments'!$J$527:$Y$567,Z$17 + 1 + $H23*$H$28, Z$15)</f>
        <v>11447.296342880969</v>
      </c>
      <c r="AA23" s="323">
        <f>INDEX('Volume adjustments'!$J$527:$Y$567,AA$17 + 1 + $H23*$H$28, AA$15)</f>
        <v>142726.48518555507</v>
      </c>
      <c r="AB23" s="323">
        <f>INDEX('Volume adjustments'!$J$527:$Y$567,AB$17 + 1 + $H23*$H$28, AB$15)</f>
        <v>2115.4787940551191</v>
      </c>
      <c r="AC23" s="323">
        <f>INDEX('Volume adjustments'!$J$527:$Y$567,AC$17 + 1 + $H23*$H$28, AC$15)</f>
        <v>130259.86855627016</v>
      </c>
      <c r="AD23" s="323">
        <f>INDEX('Volume adjustments'!$J$527:$Y$567,AD$17 + 1 + $H23*$H$28, AD$15)</f>
        <v>490383.15237516334</v>
      </c>
      <c r="AE23" s="323">
        <f>INDEX('Volume adjustments'!$J$527:$Y$567,AE$17 + 1 + $H23*$H$28, AE$15)</f>
        <v>387732.51319404069</v>
      </c>
      <c r="AF23" s="323">
        <f>INDEX('Volume adjustments'!$J$527:$Y$567,AF$17 + 1 + $H23*$H$28, AF$15)</f>
        <v>1122948.8313611895</v>
      </c>
      <c r="AG23" s="323">
        <f>INDEX('Volume adjustments'!$J$527:$Y$567,AG$17 + 1 + $H23*$H$28, AG$15)</f>
        <v>68320.814254676996</v>
      </c>
      <c r="AH23" s="323">
        <f>INDEX('Volume adjustments'!$J$527:$Y$567,AH$17 + 1 + $H23*$H$28, AH$15)</f>
        <v>7844.6260000000002</v>
      </c>
      <c r="AI23" s="323">
        <f>INDEX('Volume adjustments'!$J$527:$Y$567,AI$17 + 1 + $H23*$H$28, AI$15)</f>
        <v>169.173</v>
      </c>
      <c r="AJ23" s="323">
        <f>INDEX('Volume adjustments'!$J$527:$Y$567,AJ$17 + 1 + $H23*$H$28, AJ$15)</f>
        <v>30715.611799999999</v>
      </c>
      <c r="AK23" s="323">
        <f>INDEX('Volume adjustments'!$J$527:$Y$567,AK$17 + 1 + $H23*$H$28, AK$15)</f>
        <v>0</v>
      </c>
      <c r="AL23" s="323">
        <f>INDEX('Volume adjustments'!$J$527:$Y$567,AL$17 + 1 + $H23*$H$28, AL$15)</f>
        <v>0</v>
      </c>
      <c r="AM23" s="323">
        <f>INDEX('Volume adjustments'!$J$527:$Y$567,AM$17 + 1 + $H23*$H$28, AM$15)</f>
        <v>0</v>
      </c>
      <c r="AN23" s="323">
        <f>INDEX('Volume adjustments'!$J$527:$Y$567,AN$17 + 1 + $H23*$H$28, AN$15)</f>
        <v>531894.13069999998</v>
      </c>
      <c r="AO23" s="323">
        <f>INDEX('Volume adjustments'!$J$527:$Y$567,AO$17 + 1 + $H23*$H$28, AO$15)</f>
        <v>0</v>
      </c>
    </row>
    <row r="24" spans="3:43" x14ac:dyDescent="0.35">
      <c r="E24" s="23"/>
      <c r="F24" s="62" t="s">
        <v>249</v>
      </c>
      <c r="G24" s="62" t="s">
        <v>207</v>
      </c>
      <c r="H24" s="355">
        <v>2</v>
      </c>
      <c r="J24" s="323">
        <f>INDEX('Volume adjustments'!$J$527:$Y$567,J$17 + 1 + $H24*$H$28, J$15)</f>
        <v>2852910.2070801561</v>
      </c>
      <c r="K24" s="323">
        <f>INDEX('Volume adjustments'!$J$527:$Y$567,K$17 + 1 + $H24*$H$28, K$15)</f>
        <v>91106.652298625209</v>
      </c>
      <c r="L24" s="323">
        <f>INDEX('Volume adjustments'!$J$527:$Y$567,L$17 + 1 + $H24*$H$28, L$15)</f>
        <v>64.19339086764441</v>
      </c>
      <c r="M24" s="323">
        <f>INDEX('Volume adjustments'!$J$527:$Y$567,M$17 + 1 + $H24*$H$28, M$15)</f>
        <v>76593.54023599191</v>
      </c>
      <c r="N24" s="323">
        <f>INDEX('Volume adjustments'!$J$527:$Y$567,N$17 + 1 + $H24*$H$28, N$15)</f>
        <v>159301.91056886845</v>
      </c>
      <c r="O24" s="323">
        <f>INDEX('Volume adjustments'!$J$527:$Y$567,O$17 + 1 + $H24*$H$28, O$15)</f>
        <v>183670.85463916484</v>
      </c>
      <c r="P24" s="323">
        <f>INDEX('Volume adjustments'!$J$527:$Y$567,P$17 + 1 + $H24*$H$28, P$15)</f>
        <v>498975.84885255969</v>
      </c>
      <c r="Q24" s="323">
        <f>INDEX('Volume adjustments'!$J$527:$Y$567,Q$17 + 1 + $H24*$H$28, Q$15)</f>
        <v>25498.055666371529</v>
      </c>
      <c r="R24" s="323">
        <f>INDEX('Volume adjustments'!$J$527:$Y$567,R$17 + 1 + $H24*$H$28, R$15)</f>
        <v>248.8001625162569</v>
      </c>
      <c r="S24" s="323">
        <f>INDEX('Volume adjustments'!$J$527:$Y$567,S$17 + 1 + $H24*$H$28, S$15)</f>
        <v>294412.75943648262</v>
      </c>
      <c r="T24" s="323">
        <f>INDEX('Volume adjustments'!$J$527:$Y$567,T$17 + 1 + $H24*$H$28, T$15)</f>
        <v>289252.58835267532</v>
      </c>
      <c r="U24" s="323">
        <f>INDEX('Volume adjustments'!$J$527:$Y$567,U$17 + 1 + $H24*$H$28, U$15)</f>
        <v>233175.34879709611</v>
      </c>
      <c r="V24" s="323">
        <f>INDEX('Volume adjustments'!$J$527:$Y$567,V$17 + 1 + $H24*$H$28, V$15)</f>
        <v>765880.43579886516</v>
      </c>
      <c r="W24" s="323">
        <f>INDEX('Volume adjustments'!$J$527:$Y$567,W$17 + 1 + $H24*$H$28, W$15)</f>
        <v>0</v>
      </c>
      <c r="X24" s="323">
        <f>INDEX('Volume adjustments'!$J$527:$Y$567,X$17 + 1 + $H24*$H$28, X$15)</f>
        <v>381.3072188239953</v>
      </c>
      <c r="Y24" s="323">
        <f>INDEX('Volume adjustments'!$J$527:$Y$567,Y$17 + 1 + $H24*$H$28, Y$15)</f>
        <v>4973.367797203834</v>
      </c>
      <c r="Z24" s="323">
        <f>INDEX('Volume adjustments'!$J$527:$Y$567,Z$17 + 1 + $H24*$H$28, Z$15)</f>
        <v>7615.6859627002677</v>
      </c>
      <c r="AA24" s="323">
        <f>INDEX('Volume adjustments'!$J$527:$Y$567,AA$17 + 1 + $H24*$H$28, AA$15)</f>
        <v>94953.43329773724</v>
      </c>
      <c r="AB24" s="323">
        <f>INDEX('Volume adjustments'!$J$527:$Y$567,AB$17 + 1 + $H24*$H$28, AB$15)</f>
        <v>1458.3912124412109</v>
      </c>
      <c r="AC24" s="323">
        <f>INDEX('Volume adjustments'!$J$527:$Y$567,AC$17 + 1 + $H24*$H$28, AC$15)</f>
        <v>89799.930006418159</v>
      </c>
      <c r="AD24" s="323">
        <f>INDEX('Volume adjustments'!$J$527:$Y$567,AD$17 + 1 + $H24*$H$28, AD$15)</f>
        <v>338065.5396607694</v>
      </c>
      <c r="AE24" s="323">
        <f>INDEX('Volume adjustments'!$J$527:$Y$567,AE$17 + 1 + $H24*$H$28, AE$15)</f>
        <v>267299.15308486967</v>
      </c>
      <c r="AF24" s="323">
        <f>INDEX('Volume adjustments'!$J$527:$Y$567,AF$17 + 1 + $H24*$H$28, AF$15)</f>
        <v>774150.37781542307</v>
      </c>
      <c r="AG24" s="323">
        <f>INDEX('Volume adjustments'!$J$527:$Y$567,AG$17 + 1 + $H24*$H$28, AG$15)</f>
        <v>107181.81638894552</v>
      </c>
      <c r="AH24" s="323">
        <f>INDEX('Volume adjustments'!$J$527:$Y$567,AH$17 + 1 + $H24*$H$28, AH$15)</f>
        <v>790.70799999999986</v>
      </c>
      <c r="AI24" s="323">
        <f>INDEX('Volume adjustments'!$J$527:$Y$567,AI$17 + 1 + $H24*$H$28, AI$15)</f>
        <v>24.104999999999997</v>
      </c>
      <c r="AJ24" s="323">
        <f>INDEX('Volume adjustments'!$J$527:$Y$567,AJ$17 + 1 + $H24*$H$28, AJ$15)</f>
        <v>8447.357399999999</v>
      </c>
      <c r="AK24" s="323">
        <f>INDEX('Volume adjustments'!$J$527:$Y$567,AK$17 + 1 + $H24*$H$28, AK$15)</f>
        <v>0</v>
      </c>
      <c r="AL24" s="323">
        <f>INDEX('Volume adjustments'!$J$527:$Y$567,AL$17 + 1 + $H24*$H$28, AL$15)</f>
        <v>0</v>
      </c>
      <c r="AM24" s="323">
        <f>INDEX('Volume adjustments'!$J$527:$Y$567,AM$17 + 1 + $H24*$H$28, AM$15)</f>
        <v>0</v>
      </c>
      <c r="AN24" s="323">
        <f>INDEX('Volume adjustments'!$J$527:$Y$567,AN$17 + 1 + $H24*$H$28, AN$15)</f>
        <v>252426.65710000001</v>
      </c>
      <c r="AO24" s="323">
        <f>INDEX('Volume adjustments'!$J$527:$Y$567,AO$17 + 1 + $H24*$H$28, AO$15)</f>
        <v>0</v>
      </c>
    </row>
    <row r="25" spans="3:43" x14ac:dyDescent="0.35">
      <c r="E25" s="23"/>
      <c r="F25" s="62" t="s">
        <v>212</v>
      </c>
      <c r="G25" s="62" t="s">
        <v>212</v>
      </c>
      <c r="H25" s="355">
        <v>3</v>
      </c>
      <c r="J25" s="323">
        <f>INDEX('Volume adjustments'!$J$527:$Y$567,J$17 + 1 + $H25*$H$28, J$15)</f>
        <v>2883067.3258877532</v>
      </c>
      <c r="K25" s="323">
        <f>INDEX('Volume adjustments'!$J$527:$Y$567,K$17 + 1 + $H25*$H$28, K$15)</f>
        <v>30229.440258963554</v>
      </c>
      <c r="L25" s="323">
        <f>INDEX('Volume adjustments'!$J$527:$Y$567,L$17 + 1 + $H25*$H$28, L$15)</f>
        <v>8.9531769600414037</v>
      </c>
      <c r="M25" s="323">
        <f>INDEX('Volume adjustments'!$J$527:$Y$567,M$17 + 1 + $H25*$H$28, M$15)</f>
        <v>89867.465601055635</v>
      </c>
      <c r="N25" s="323">
        <f>INDEX('Volume adjustments'!$J$527:$Y$567,N$17 + 1 + $H25*$H$28, N$15)</f>
        <v>68282.350747835793</v>
      </c>
      <c r="O25" s="323">
        <f>INDEX('Volume adjustments'!$J$527:$Y$567,O$17 + 1 + $H25*$H$28, O$15)</f>
        <v>35175.556124962684</v>
      </c>
      <c r="P25" s="323">
        <f>INDEX('Volume adjustments'!$J$527:$Y$567,P$17 + 1 + $H25*$H$28, P$15)</f>
        <v>34146.197496477944</v>
      </c>
      <c r="Q25" s="323">
        <f>INDEX('Volume adjustments'!$J$527:$Y$567,Q$17 + 1 + $H25*$H$28, Q$15)</f>
        <v>4514.9354838709687</v>
      </c>
      <c r="R25" s="323">
        <f>INDEX('Volume adjustments'!$J$527:$Y$567,R$17 + 1 + $H25*$H$28, R$15)</f>
        <v>12.122280437371904</v>
      </c>
      <c r="S25" s="323">
        <f>INDEX('Volume adjustments'!$J$527:$Y$567,S$17 + 1 + $H25*$H$28, S$15)</f>
        <v>10302.456027690891</v>
      </c>
      <c r="T25" s="323">
        <f>INDEX('Volume adjustments'!$J$527:$Y$567,T$17 + 1 + $H25*$H$28, T$15)</f>
        <v>5922.1292854095691</v>
      </c>
      <c r="U25" s="323">
        <f>INDEX('Volume adjustments'!$J$527:$Y$567,U$17 + 1 + $H25*$H$28, U$15)</f>
        <v>2820.8678341682225</v>
      </c>
      <c r="V25" s="323">
        <f>INDEX('Volume adjustments'!$J$527:$Y$567,V$17 + 1 + $H25*$H$28, V$15)</f>
        <v>3835.779411003623</v>
      </c>
      <c r="W25" s="323">
        <f>INDEX('Volume adjustments'!$J$527:$Y$567,W$17 + 1 + $H25*$H$28, W$15)</f>
        <v>0</v>
      </c>
      <c r="X25" s="323">
        <f>INDEX('Volume adjustments'!$J$527:$Y$567,X$17 + 1 + $H25*$H$28, X$15)</f>
        <v>5</v>
      </c>
      <c r="Y25" s="323">
        <f>INDEX('Volume adjustments'!$J$527:$Y$567,Y$17 + 1 + $H25*$H$28, Y$15)</f>
        <v>43.935483870967744</v>
      </c>
      <c r="Z25" s="323">
        <f>INDEX('Volume adjustments'!$J$527:$Y$567,Z$17 + 1 + $H25*$H$28, Z$15)</f>
        <v>51.967741935483893</v>
      </c>
      <c r="AA25" s="323">
        <f>INDEX('Volume adjustments'!$J$527:$Y$567,AA$17 + 1 + $H25*$H$28, AA$15)</f>
        <v>198.54838709677418</v>
      </c>
      <c r="AB25" s="323">
        <f>INDEX('Volume adjustments'!$J$527:$Y$567,AB$17 + 1 + $H25*$H$28, AB$15)</f>
        <v>79.23866687372356</v>
      </c>
      <c r="AC25" s="323">
        <f>INDEX('Volume adjustments'!$J$527:$Y$567,AC$17 + 1 + $H25*$H$28, AC$15)</f>
        <v>478.83071857148411</v>
      </c>
      <c r="AD25" s="323">
        <f>INDEX('Volume adjustments'!$J$527:$Y$567,AD$17 + 1 + $H25*$H$28, AD$15)</f>
        <v>692.49674799691286</v>
      </c>
      <c r="AE25" s="323">
        <f>INDEX('Volume adjustments'!$J$527:$Y$567,AE$17 + 1 + $H25*$H$28, AE$15)</f>
        <v>278.04744626032908</v>
      </c>
      <c r="AF25" s="323">
        <f>INDEX('Volume adjustments'!$J$527:$Y$567,AF$17 + 1 + $H25*$H$28, AF$15)</f>
        <v>313.32936901047566</v>
      </c>
      <c r="AG25" s="323">
        <f>INDEX('Volume adjustments'!$J$527:$Y$567,AG$17 + 1 + $H25*$H$28, AG$15)</f>
        <v>3978.3387096774172</v>
      </c>
      <c r="AH25" s="323">
        <f>INDEX('Volume adjustments'!$J$527:$Y$567,AH$17 + 1 + $H25*$H$28, AH$15)</f>
        <v>8349.9354838709678</v>
      </c>
      <c r="AI25" s="323">
        <f>INDEX('Volume adjustments'!$J$527:$Y$567,AI$17 + 1 + $H25*$H$28, AI$15)</f>
        <v>39</v>
      </c>
      <c r="AJ25" s="323">
        <f>INDEX('Volume adjustments'!$J$527:$Y$567,AJ$17 + 1 + $H25*$H$28, AJ$15)</f>
        <v>838.90322580645136</v>
      </c>
      <c r="AK25" s="323">
        <f>INDEX('Volume adjustments'!$J$527:$Y$567,AK$17 + 1 + $H25*$H$28, AK$15)</f>
        <v>0</v>
      </c>
      <c r="AL25" s="323">
        <f>INDEX('Volume adjustments'!$J$527:$Y$567,AL$17 + 1 + $H25*$H$28, AL$15)</f>
        <v>1</v>
      </c>
      <c r="AM25" s="323">
        <f>INDEX('Volume adjustments'!$J$527:$Y$567,AM$17 + 1 + $H25*$H$28, AM$15)</f>
        <v>0</v>
      </c>
      <c r="AN25" s="323">
        <f>INDEX('Volume adjustments'!$J$527:$Y$567,AN$17 + 1 + $H25*$H$28, AN$15)</f>
        <v>234.29032258064521</v>
      </c>
      <c r="AO25" s="323">
        <f>INDEX('Volume adjustments'!$J$527:$Y$567,AO$17 + 1 + $H25*$H$28, AO$15)</f>
        <v>0</v>
      </c>
    </row>
    <row r="26" spans="3:43" x14ac:dyDescent="0.35">
      <c r="E26" s="23"/>
      <c r="F26" s="62" t="s">
        <v>250</v>
      </c>
      <c r="G26" s="62" t="s">
        <v>251</v>
      </c>
      <c r="H26" s="355">
        <v>4</v>
      </c>
      <c r="J26" s="323">
        <f>INDEX('Volume adjustments'!$J$527:$Y$567,J$17 + 1 + $H26*$H$28, J$15)</f>
        <v>0</v>
      </c>
      <c r="K26" s="323">
        <f>INDEX('Volume adjustments'!$J$527:$Y$567,K$17 + 1 + $H26*$H$28, K$15)</f>
        <v>0</v>
      </c>
      <c r="L26" s="323">
        <f>INDEX('Volume adjustments'!$J$527:$Y$567,L$17 + 1 + $H26*$H$28, L$15)</f>
        <v>0</v>
      </c>
      <c r="M26" s="323">
        <f>INDEX('Volume adjustments'!$J$527:$Y$567,M$17 + 1 + $H26*$H$28, M$15)</f>
        <v>0</v>
      </c>
      <c r="N26" s="323">
        <f>INDEX('Volume adjustments'!$J$527:$Y$567,N$17 + 1 + $H26*$H$28, N$15)</f>
        <v>0</v>
      </c>
      <c r="O26" s="323">
        <f>INDEX('Volume adjustments'!$J$527:$Y$567,O$17 + 1 + $H26*$H$28, O$15)</f>
        <v>0</v>
      </c>
      <c r="P26" s="323">
        <f>INDEX('Volume adjustments'!$J$527:$Y$567,P$17 + 1 + $H26*$H$28, P$15)</f>
        <v>0</v>
      </c>
      <c r="Q26" s="323">
        <f>INDEX('Volume adjustments'!$J$527:$Y$567,Q$17 + 1 + $H26*$H$28, Q$15)</f>
        <v>0</v>
      </c>
      <c r="R26" s="323">
        <f>INDEX('Volume adjustments'!$J$527:$Y$567,R$17 + 1 + $H26*$H$28, R$15)</f>
        <v>541.06652698643586</v>
      </c>
      <c r="S26" s="323">
        <f>INDEX('Volume adjustments'!$J$527:$Y$567,S$17 + 1 + $H26*$H$28, S$15)</f>
        <v>640260.39065943938</v>
      </c>
      <c r="T26" s="323">
        <f>INDEX('Volume adjustments'!$J$527:$Y$567,T$17 + 1 + $H26*$H$28, T$15)</f>
        <v>629038.54973001871</v>
      </c>
      <c r="U26" s="323">
        <f>INDEX('Volume adjustments'!$J$527:$Y$567,U$17 + 1 + $H26*$H$28, U$15)</f>
        <v>507087.19349912775</v>
      </c>
      <c r="V26" s="323">
        <f>INDEX('Volume adjustments'!$J$527:$Y$567,V$17 + 1 + $H26*$H$28, V$15)</f>
        <v>1665562.6881171069</v>
      </c>
      <c r="W26" s="323">
        <f>INDEX('Volume adjustments'!$J$527:$Y$567,W$17 + 1 + $H26*$H$28, W$15)</f>
        <v>0</v>
      </c>
      <c r="X26" s="323">
        <f>INDEX('Volume adjustments'!$J$527:$Y$567,X$17 + 1 + $H26*$H$28, X$15)</f>
        <v>457.61497359160671</v>
      </c>
      <c r="Y26" s="323">
        <f>INDEX('Volume adjustments'!$J$527:$Y$567,Y$17 + 1 + $H26*$H$28, Y$15)</f>
        <v>5968.6453883509857</v>
      </c>
      <c r="Z26" s="323">
        <f>INDEX('Volume adjustments'!$J$527:$Y$567,Z$17 + 1 + $H26*$H$28, Z$15)</f>
        <v>9139.7481050881743</v>
      </c>
      <c r="AA26" s="323">
        <f>INDEX('Volume adjustments'!$J$527:$Y$567,AA$17 + 1 + $H26*$H$28, AA$15)</f>
        <v>113955.65236081497</v>
      </c>
      <c r="AB26" s="323">
        <f>INDEX('Volume adjustments'!$J$527:$Y$567,AB$17 + 1 + $H26*$H$28, AB$15)</f>
        <v>1942.3147725069314</v>
      </c>
      <c r="AC26" s="323">
        <f>INDEX('Volume adjustments'!$J$527:$Y$567,AC$17 + 1 + $H26*$H$28, AC$15)</f>
        <v>119597.35435431766</v>
      </c>
      <c r="AD26" s="323">
        <f>INDEX('Volume adjustments'!$J$527:$Y$567,AD$17 + 1 + $H26*$H$28, AD$15)</f>
        <v>450242.49059996969</v>
      </c>
      <c r="AE26" s="323">
        <f>INDEX('Volume adjustments'!$J$527:$Y$567,AE$17 + 1 + $H26*$H$28, AE$15)</f>
        <v>355994.39251027623</v>
      </c>
      <c r="AF26" s="323">
        <f>INDEX('Volume adjustments'!$J$527:$Y$567,AF$17 + 1 + $H26*$H$28, AF$15)</f>
        <v>1031029.055952524</v>
      </c>
      <c r="AG26" s="323">
        <f>INDEX('Volume adjustments'!$J$527:$Y$567,AG$17 + 1 + $H26*$H$28, AG$15)</f>
        <v>0</v>
      </c>
      <c r="AH26" s="323">
        <f>INDEX('Volume adjustments'!$J$527:$Y$567,AH$17 + 1 + $H26*$H$28, AH$15)</f>
        <v>0</v>
      </c>
      <c r="AI26" s="323">
        <f>INDEX('Volume adjustments'!$J$527:$Y$567,AI$17 + 1 + $H26*$H$28, AI$15)</f>
        <v>0</v>
      </c>
      <c r="AJ26" s="323">
        <f>INDEX('Volume adjustments'!$J$527:$Y$567,AJ$17 + 1 + $H26*$H$28, AJ$15)</f>
        <v>0</v>
      </c>
      <c r="AK26" s="323">
        <f>INDEX('Volume adjustments'!$J$527:$Y$567,AK$17 + 1 + $H26*$H$28, AK$15)</f>
        <v>0</v>
      </c>
      <c r="AL26" s="323">
        <f>INDEX('Volume adjustments'!$J$527:$Y$567,AL$17 + 1 + $H26*$H$28, AL$15)</f>
        <v>0</v>
      </c>
      <c r="AM26" s="323">
        <f>INDEX('Volume adjustments'!$J$527:$Y$567,AM$17 + 1 + $H26*$H$28, AM$15)</f>
        <v>0</v>
      </c>
      <c r="AN26" s="323">
        <f>INDEX('Volume adjustments'!$J$527:$Y$567,AN$17 + 1 + $H26*$H$28, AN$15)</f>
        <v>0</v>
      </c>
      <c r="AO26" s="323">
        <f>INDEX('Volume adjustments'!$J$527:$Y$567,AO$17 + 1 + $H26*$H$28, AO$15)</f>
        <v>0</v>
      </c>
    </row>
    <row r="27" spans="3:43" x14ac:dyDescent="0.35">
      <c r="E27" s="23"/>
      <c r="F27" s="62" t="s">
        <v>252</v>
      </c>
      <c r="G27" s="62" t="s">
        <v>251</v>
      </c>
      <c r="H27" s="355">
        <v>5</v>
      </c>
      <c r="J27" s="323">
        <f>INDEX('Volume adjustments'!$J$527:$Y$567,J$17 + 1 + $H27*$H$28, J$15)</f>
        <v>0</v>
      </c>
      <c r="K27" s="323">
        <f>INDEX('Volume adjustments'!$J$527:$Y$567,K$17 + 1 + $H27*$H$28, K$15)</f>
        <v>0</v>
      </c>
      <c r="L27" s="323">
        <f>INDEX('Volume adjustments'!$J$527:$Y$567,L$17 + 1 + $H27*$H$28, L$15)</f>
        <v>0</v>
      </c>
      <c r="M27" s="323">
        <f>INDEX('Volume adjustments'!$J$527:$Y$567,M$17 + 1 + $H27*$H$28, M$15)</f>
        <v>0</v>
      </c>
      <c r="N27" s="323">
        <f>INDEX('Volume adjustments'!$J$527:$Y$567,N$17 + 1 + $H27*$H$28, N$15)</f>
        <v>0</v>
      </c>
      <c r="O27" s="323">
        <f>INDEX('Volume adjustments'!$J$527:$Y$567,O$17 + 1 + $H27*$H$28, O$15)</f>
        <v>0</v>
      </c>
      <c r="P27" s="323">
        <f>INDEX('Volume adjustments'!$J$527:$Y$567,P$17 + 1 + $H27*$H$28, P$15)</f>
        <v>0</v>
      </c>
      <c r="Q27" s="323">
        <f>INDEX('Volume adjustments'!$J$527:$Y$567,Q$17 + 1 + $H27*$H$28, Q$15)</f>
        <v>0</v>
      </c>
      <c r="R27" s="323">
        <f>INDEX('Volume adjustments'!$J$527:$Y$567,R$17 + 1 + $H27*$H$28, R$15)</f>
        <v>8.8396001529576367</v>
      </c>
      <c r="S27" s="323">
        <f>INDEX('Volume adjustments'!$J$527:$Y$567,S$17 + 1 + $H27*$H$28, S$15)</f>
        <v>10460.166291802007</v>
      </c>
      <c r="T27" s="323">
        <f>INDEX('Volume adjustments'!$J$527:$Y$567,T$17 + 1 + $H27*$H$28, T$15)</f>
        <v>10276.83100519933</v>
      </c>
      <c r="U27" s="323">
        <f>INDEX('Volume adjustments'!$J$527:$Y$567,U$17 + 1 + $H27*$H$28, U$15)</f>
        <v>8284.4674539072348</v>
      </c>
      <c r="V27" s="323">
        <f>INDEX('Volume adjustments'!$J$527:$Y$567,V$17 + 1 + $H27*$H$28, V$15)</f>
        <v>27210.901910052191</v>
      </c>
      <c r="W27" s="323">
        <f>INDEX('Volume adjustments'!$J$527:$Y$567,W$17 + 1 + $H27*$H$28, W$15)</f>
        <v>0</v>
      </c>
      <c r="X27" s="323">
        <f>INDEX('Volume adjustments'!$J$527:$Y$567,X$17 + 1 + $H27*$H$28, X$15)</f>
        <v>2.4188773321338299</v>
      </c>
      <c r="Y27" s="323">
        <f>INDEX('Volume adjustments'!$J$527:$Y$567,Y$17 + 1 + $H27*$H$28, Y$15)</f>
        <v>31.549275846711769</v>
      </c>
      <c r="Z27" s="323">
        <f>INDEX('Volume adjustments'!$J$527:$Y$567,Z$17 + 1 + $H27*$H$28, Z$15)</f>
        <v>48.311202186624435</v>
      </c>
      <c r="AA27" s="323">
        <f>INDEX('Volume adjustments'!$J$527:$Y$567,AA$17 + 1 + $H27*$H$28, AA$15)</f>
        <v>602.3507976600747</v>
      </c>
      <c r="AB27" s="323">
        <f>INDEX('Volume adjustments'!$J$527:$Y$567,AB$17 + 1 + $H27*$H$28, AB$15)</f>
        <v>40.020366637641082</v>
      </c>
      <c r="AC27" s="323">
        <f>INDEX('Volume adjustments'!$J$527:$Y$567,AC$17 + 1 + $H27*$H$28, AC$15)</f>
        <v>2464.2401107694777</v>
      </c>
      <c r="AD27" s="323">
        <f>INDEX('Volume adjustments'!$J$527:$Y$567,AD$17 + 1 + $H27*$H$28, AD$15)</f>
        <v>9277.0079313141578</v>
      </c>
      <c r="AE27" s="323">
        <f>INDEX('Volume adjustments'!$J$527:$Y$567,AE$17 + 1 + $H27*$H$28, AE$15)</f>
        <v>7335.0758130810245</v>
      </c>
      <c r="AF27" s="323">
        <f>INDEX('Volume adjustments'!$J$527:$Y$567,AF$17 + 1 + $H27*$H$28, AF$15)</f>
        <v>21243.807346439633</v>
      </c>
      <c r="AG27" s="323">
        <f>INDEX('Volume adjustments'!$J$527:$Y$567,AG$17 + 1 + $H27*$H$28, AG$15)</f>
        <v>0</v>
      </c>
      <c r="AH27" s="323">
        <f>INDEX('Volume adjustments'!$J$527:$Y$567,AH$17 + 1 + $H27*$H$28, AH$15)</f>
        <v>0</v>
      </c>
      <c r="AI27" s="323">
        <f>INDEX('Volume adjustments'!$J$527:$Y$567,AI$17 + 1 + $H27*$H$28, AI$15)</f>
        <v>0</v>
      </c>
      <c r="AJ27" s="323">
        <f>INDEX('Volume adjustments'!$J$527:$Y$567,AJ$17 + 1 + $H27*$H$28, AJ$15)</f>
        <v>0</v>
      </c>
      <c r="AK27" s="323">
        <f>INDEX('Volume adjustments'!$J$527:$Y$567,AK$17 + 1 + $H27*$H$28, AK$15)</f>
        <v>0</v>
      </c>
      <c r="AL27" s="323">
        <f>INDEX('Volume adjustments'!$J$527:$Y$567,AL$17 + 1 + $H27*$H$28, AL$15)</f>
        <v>0</v>
      </c>
      <c r="AM27" s="323">
        <f>INDEX('Volume adjustments'!$J$527:$Y$567,AM$17 + 1 + $H27*$H$28, AM$15)</f>
        <v>0</v>
      </c>
      <c r="AN27" s="323">
        <f>INDEX('Volume adjustments'!$J$527:$Y$567,AN$17 + 1 + $H27*$H$28, AN$15)</f>
        <v>0</v>
      </c>
      <c r="AO27" s="323">
        <f>INDEX('Volume adjustments'!$J$527:$Y$567,AO$17 + 1 + $H27*$H$28, AO$15)</f>
        <v>0</v>
      </c>
    </row>
    <row r="28" spans="3:43" x14ac:dyDescent="0.35">
      <c r="E28" s="23"/>
      <c r="F28" s="70" t="s">
        <v>253</v>
      </c>
      <c r="G28" s="70" t="s">
        <v>254</v>
      </c>
      <c r="H28" s="311">
        <v>6</v>
      </c>
      <c r="I28" s="28"/>
      <c r="J28" s="185">
        <f>INDEX('Volume adjustments'!$J$527:$Y$567,J$17 + 1 + $H28*$H$28, J$15)</f>
        <v>0</v>
      </c>
      <c r="K28" s="185">
        <f>INDEX('Volume adjustments'!$J$527:$Y$567,K$17 + 1 + $H28*$H$28, K$15)</f>
        <v>0</v>
      </c>
      <c r="L28" s="185">
        <f>INDEX('Volume adjustments'!$J$527:$Y$567,L$17 + 1 + $H28*$H$28, L$15)</f>
        <v>0</v>
      </c>
      <c r="M28" s="185">
        <f>INDEX('Volume adjustments'!$J$527:$Y$567,M$17 + 1 + $H28*$H$28, M$15)</f>
        <v>0</v>
      </c>
      <c r="N28" s="185">
        <f>INDEX('Volume adjustments'!$J$527:$Y$567,N$17 + 1 + $H28*$H$28, N$15)</f>
        <v>0</v>
      </c>
      <c r="O28" s="185">
        <f>INDEX('Volume adjustments'!$J$527:$Y$567,O$17 + 1 + $H28*$H$28, O$15)</f>
        <v>0</v>
      </c>
      <c r="P28" s="185">
        <f>INDEX('Volume adjustments'!$J$527:$Y$567,P$17 + 1 + $H28*$H$28, P$15)</f>
        <v>0</v>
      </c>
      <c r="Q28" s="185">
        <f>INDEX('Volume adjustments'!$J$527:$Y$567,Q$17 + 1 + $H28*$H$28, Q$15)</f>
        <v>0</v>
      </c>
      <c r="R28" s="185">
        <f>INDEX('Volume adjustments'!$J$527:$Y$567,R$17 + 1 + $H28*$H$28, R$15)</f>
        <v>58.995876213502676</v>
      </c>
      <c r="S28" s="185">
        <f>INDEX('Volume adjustments'!$J$527:$Y$567,S$17 + 1 + $H28*$H$28, S$15)</f>
        <v>69811.605168286609</v>
      </c>
      <c r="T28" s="185">
        <f>INDEX('Volume adjustments'!$J$527:$Y$567,T$17 + 1 + $H28*$H$28, T$15)</f>
        <v>68588.017484814336</v>
      </c>
      <c r="U28" s="185">
        <f>INDEX('Volume adjustments'!$J$527:$Y$567,U$17 + 1 + $H28*$H$28, U$15)</f>
        <v>55290.896414808143</v>
      </c>
      <c r="V28" s="185">
        <f>INDEX('Volume adjustments'!$J$527:$Y$567,V$17 + 1 + $H28*$H$28, V$15)</f>
        <v>181606.74385323591</v>
      </c>
      <c r="W28" s="185">
        <f>INDEX('Volume adjustments'!$J$527:$Y$567,W$17 + 1 + $H28*$H$28, W$15)</f>
        <v>0</v>
      </c>
      <c r="X28" s="185">
        <f>INDEX('Volume adjustments'!$J$527:$Y$567,X$17 + 1 + $H28*$H$28, X$15)</f>
        <v>80.334257737303417</v>
      </c>
      <c r="Y28" s="185">
        <f>INDEX('Volume adjustments'!$J$527:$Y$567,Y$17 + 1 + $H28*$H$28, Y$15)</f>
        <v>1047.7950343431464</v>
      </c>
      <c r="Z28" s="185">
        <f>INDEX('Volume adjustments'!$J$527:$Y$567,Z$17 + 1 + $H28*$H$28, Z$15)</f>
        <v>1604.4817637096016</v>
      </c>
      <c r="AA28" s="185">
        <f>INDEX('Volume adjustments'!$J$527:$Y$567,AA$17 + 1 + $H28*$H$28, AA$15)</f>
        <v>20004.902102583135</v>
      </c>
      <c r="AB28" s="185">
        <f>INDEX('Volume adjustments'!$J$527:$Y$567,AB$17 + 1 + $H28*$H$28, AB$15)</f>
        <v>274.59031949823634</v>
      </c>
      <c r="AC28" s="185">
        <f>INDEX('Volume adjustments'!$J$527:$Y$567,AC$17 + 1 + $H28*$H$28, AC$15)</f>
        <v>16907.803105934869</v>
      </c>
      <c r="AD28" s="185">
        <f>INDEX('Volume adjustments'!$J$527:$Y$567,AD$17 + 1 + $H28*$H$28, AD$15)</f>
        <v>63652.004863226233</v>
      </c>
      <c r="AE28" s="185">
        <f>INDEX('Volume adjustments'!$J$527:$Y$567,AE$17 + 1 + $H28*$H$28, AE$15)</f>
        <v>50327.89502641157</v>
      </c>
      <c r="AF28" s="185">
        <f>INDEX('Volume adjustments'!$J$527:$Y$567,AF$17 + 1 + $H28*$H$28, AF$15)</f>
        <v>145759.38045333393</v>
      </c>
      <c r="AG28" s="185">
        <f>INDEX('Volume adjustments'!$J$527:$Y$567,AG$17 + 1 + $H28*$H$28, AG$15)</f>
        <v>0</v>
      </c>
      <c r="AH28" s="185">
        <f>INDEX('Volume adjustments'!$J$527:$Y$567,AH$17 + 1 + $H28*$H$28, AH$15)</f>
        <v>0</v>
      </c>
      <c r="AI28" s="185">
        <f>INDEX('Volume adjustments'!$J$527:$Y$567,AI$17 + 1 + $H28*$H$28, AI$15)</f>
        <v>0</v>
      </c>
      <c r="AJ28" s="185">
        <f>INDEX('Volume adjustments'!$J$527:$Y$567,AJ$17 + 1 + $H28*$H$28, AJ$15)</f>
        <v>6749.0700869110524</v>
      </c>
      <c r="AK28" s="185">
        <f>INDEX('Volume adjustments'!$J$527:$Y$567,AK$17 + 1 + $H28*$H$28, AK$15)</f>
        <v>0</v>
      </c>
      <c r="AL28" s="185">
        <f>INDEX('Volume adjustments'!$J$527:$Y$567,AL$17 + 1 + $H28*$H$28, AL$15)</f>
        <v>0</v>
      </c>
      <c r="AM28" s="185">
        <f>INDEX('Volume adjustments'!$J$527:$Y$567,AM$17 + 1 + $H28*$H$28, AM$15)</f>
        <v>0</v>
      </c>
      <c r="AN28" s="185">
        <f>INDEX('Volume adjustments'!$J$527:$Y$567,AN$17 + 1 + $H28*$H$28, AN$15)</f>
        <v>37191.039110646561</v>
      </c>
      <c r="AO28" s="185">
        <f>INDEX('Volume adjustments'!$J$527:$Y$567,AO$17 + 1 + $H28*$H$28, AO$15)</f>
        <v>0</v>
      </c>
    </row>
    <row r="29" spans="3:43" s="249" customFormat="1" x14ac:dyDescent="0.35">
      <c r="E29" s="253"/>
      <c r="F29" s="225"/>
      <c r="G29" s="225"/>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row>
    <row r="30" spans="3:43" x14ac:dyDescent="0.35">
      <c r="E30" s="27" t="s">
        <v>255</v>
      </c>
      <c r="F30" s="336"/>
      <c r="G30" s="336"/>
      <c r="I30" t="s">
        <v>154</v>
      </c>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c r="AQ30" t="s">
        <v>246</v>
      </c>
    </row>
    <row r="31" spans="3:43" x14ac:dyDescent="0.35">
      <c r="E31" s="27"/>
      <c r="F31" s="24" t="s">
        <v>1034</v>
      </c>
    </row>
    <row r="32" spans="3:43" x14ac:dyDescent="0.35">
      <c r="E32" s="27"/>
      <c r="F32" s="377" t="s">
        <v>1030</v>
      </c>
      <c r="G32" s="28"/>
    </row>
    <row r="33" spans="5:43" x14ac:dyDescent="0.35">
      <c r="F33" s="62" t="s">
        <v>247</v>
      </c>
      <c r="G33" s="62" t="s">
        <v>207</v>
      </c>
      <c r="H33" s="310">
        <v>0</v>
      </c>
      <c r="I33" s="19"/>
      <c r="J33" s="183">
        <f>INDEX('Volume adjustments'!$J$571:$Y$611,J$17 + 1 + $H33*$H$39, J$15)</f>
        <v>7691.139404590519</v>
      </c>
      <c r="K33" s="183">
        <f>INDEX('Volume adjustments'!$J$571:$Y$611,K$17 + 1 + $H33*$H$39, K$15)</f>
        <v>0</v>
      </c>
      <c r="L33" s="183">
        <f>INDEX('Volume adjustments'!$J$571:$Y$611,L$17 + 1 + $H33*$H$39, L$15)</f>
        <v>0.445960085393863</v>
      </c>
      <c r="M33" s="183">
        <f>INDEX('Volume adjustments'!$J$571:$Y$611,M$17 + 1 + $H33*$H$39, M$15)</f>
        <v>300.32169312177052</v>
      </c>
      <c r="N33" s="183">
        <f>INDEX('Volume adjustments'!$J$571:$Y$611,N$17 + 1 + $H33*$H$39, N$15)</f>
        <v>106.91967872835548</v>
      </c>
      <c r="O33" s="183">
        <f>INDEX('Volume adjustments'!$J$571:$Y$611,O$17 + 1 + $H33*$H$39, O$15)</f>
        <v>194.72293419892159</v>
      </c>
      <c r="P33" s="183">
        <f>INDEX('Volume adjustments'!$J$571:$Y$611,P$17 + 1 + $H33*$H$39, P$15)</f>
        <v>209.17822654181128</v>
      </c>
      <c r="Q33" s="183">
        <f>INDEX('Volume adjustments'!$J$571:$Y$611,Q$17 + 1 + $H33*$H$39, Q$15)</f>
        <v>13.991341247966051</v>
      </c>
      <c r="R33" s="183">
        <f>INDEX('Volume adjustments'!$J$571:$Y$611,R$17 + 1 + $H33*$H$39, R$15)</f>
        <v>0</v>
      </c>
      <c r="S33" s="183">
        <f>INDEX('Volume adjustments'!$J$571:$Y$611,S$17 + 1 + $H33*$H$39, S$15)</f>
        <v>150.45430787791497</v>
      </c>
      <c r="T33" s="183">
        <f>INDEX('Volume adjustments'!$J$571:$Y$611,T$17 + 1 + $H33*$H$39, T$15)</f>
        <v>398.82480495040681</v>
      </c>
      <c r="U33" s="183">
        <f>INDEX('Volume adjustments'!$J$571:$Y$611,U$17 + 1 + $H33*$H$39, U$15)</f>
        <v>671.5658704110067</v>
      </c>
      <c r="V33" s="183">
        <f>INDEX('Volume adjustments'!$J$571:$Y$611,V$17 + 1 + $H33*$H$39, V$15)</f>
        <v>372.17815978626317</v>
      </c>
      <c r="W33" s="183">
        <f>INDEX('Volume adjustments'!$J$571:$Y$611,W$17 + 1 + $H33*$H$39, W$15)</f>
        <v>0</v>
      </c>
      <c r="X33" s="183">
        <f>INDEX('Volume adjustments'!$J$571:$Y$611,X$17 + 1 + $H33*$H$39, X$15)</f>
        <v>0</v>
      </c>
      <c r="Y33" s="183">
        <f>INDEX('Volume adjustments'!$J$571:$Y$611,Y$17 + 1 + $H33*$H$39, Y$15)</f>
        <v>0</v>
      </c>
      <c r="Z33" s="183">
        <f>INDEX('Volume adjustments'!$J$571:$Y$611,Z$17 + 1 + $H33*$H$39, Z$15)</f>
        <v>0</v>
      </c>
      <c r="AA33" s="183">
        <f>INDEX('Volume adjustments'!$J$571:$Y$611,AA$17 + 1 + $H33*$H$39, AA$15)</f>
        <v>0</v>
      </c>
      <c r="AB33" s="183">
        <f>INDEX('Volume adjustments'!$J$571:$Y$611,AB$17 + 1 + $H33*$H$39, AB$15)</f>
        <v>0</v>
      </c>
      <c r="AC33" s="183">
        <f>INDEX('Volume adjustments'!$J$571:$Y$611,AC$17 + 1 + $H33*$H$39, AC$15)</f>
        <v>0</v>
      </c>
      <c r="AD33" s="183">
        <f>INDEX('Volume adjustments'!$J$571:$Y$611,AD$17 + 1 + $H33*$H$39, AD$15)</f>
        <v>0</v>
      </c>
      <c r="AE33" s="183">
        <f>INDEX('Volume adjustments'!$J$571:$Y$611,AE$17 + 1 + $H33*$H$39, AE$15)</f>
        <v>0</v>
      </c>
      <c r="AF33" s="183">
        <f>INDEX('Volume adjustments'!$J$571:$Y$611,AF$17 + 1 + $H33*$H$39, AF$15)</f>
        <v>0</v>
      </c>
      <c r="AG33" s="183">
        <f>INDEX('Volume adjustments'!$J$571:$Y$611,AG$17 + 1 + $H33*$H$39, AG$15)</f>
        <v>5.3186150842555566</v>
      </c>
      <c r="AH33" s="183">
        <f>INDEX('Volume adjustments'!$J$571:$Y$611,AH$17 + 1 + $H33*$H$39, AH$15)</f>
        <v>29.156000000000002</v>
      </c>
      <c r="AI33" s="183">
        <f>INDEX('Volume adjustments'!$J$571:$Y$611,AI$17 + 1 + $H33*$H$39, AI$15)</f>
        <v>0</v>
      </c>
      <c r="AJ33" s="183">
        <f>INDEX('Volume adjustments'!$J$571:$Y$611,AJ$17 + 1 + $H33*$H$39, AJ$15)</f>
        <v>5.6150000000000002</v>
      </c>
      <c r="AK33" s="183">
        <f>INDEX('Volume adjustments'!$J$571:$Y$611,AK$17 + 1 + $H33*$H$39, AK$15)</f>
        <v>0</v>
      </c>
      <c r="AL33" s="183">
        <f>INDEX('Volume adjustments'!$J$571:$Y$611,AL$17 + 1 + $H33*$H$39, AL$15)</f>
        <v>0</v>
      </c>
      <c r="AM33" s="183">
        <f>INDEX('Volume adjustments'!$J$571:$Y$611,AM$17 + 1 + $H33*$H$39, AM$15)</f>
        <v>0</v>
      </c>
      <c r="AN33" s="183">
        <f>INDEX('Volume adjustments'!$J$571:$Y$611,AN$17 + 1 + $H33*$H$39, AN$15)</f>
        <v>0</v>
      </c>
      <c r="AO33" s="183">
        <f>INDEX('Volume adjustments'!$J$571:$Y$611,AO$17 + 1 + $H33*$H$39, AO$15)</f>
        <v>0</v>
      </c>
    </row>
    <row r="34" spans="5:43" x14ac:dyDescent="0.35">
      <c r="E34" s="23"/>
      <c r="F34" s="62" t="s">
        <v>248</v>
      </c>
      <c r="G34" s="62" t="s">
        <v>207</v>
      </c>
      <c r="H34" s="355">
        <v>1</v>
      </c>
      <c r="J34" s="323">
        <f>INDEX('Volume adjustments'!$J$571:$Y$611,J$17 + 1 + $H34*$H$39, J$15)</f>
        <v>33745.422899500707</v>
      </c>
      <c r="K34" s="323">
        <f>INDEX('Volume adjustments'!$J$571:$Y$611,K$17 + 1 + $H34*$H$39, K$15)</f>
        <v>0</v>
      </c>
      <c r="L34" s="323">
        <f>INDEX('Volume adjustments'!$J$571:$Y$611,L$17 + 1 + $H34*$H$39, L$15)</f>
        <v>2.8010158597995578</v>
      </c>
      <c r="M34" s="323">
        <f>INDEX('Volume adjustments'!$J$571:$Y$611,M$17 + 1 + $H34*$H$39, M$15)</f>
        <v>1886.2805282966051</v>
      </c>
      <c r="N34" s="323">
        <f>INDEX('Volume adjustments'!$J$571:$Y$611,N$17 + 1 + $H34*$H$39, N$15)</f>
        <v>671.54825207798388</v>
      </c>
      <c r="O34" s="323">
        <f>INDEX('Volume adjustments'!$J$571:$Y$611,O$17 + 1 + $H34*$H$39, O$15)</f>
        <v>1223.0287974677808</v>
      </c>
      <c r="P34" s="323">
        <f>INDEX('Volume adjustments'!$J$571:$Y$611,P$17 + 1 + $H34*$H$39, P$15)</f>
        <v>1313.8205621045499</v>
      </c>
      <c r="Q34" s="323">
        <f>INDEX('Volume adjustments'!$J$571:$Y$611,Q$17 + 1 + $H34*$H$39, Q$15)</f>
        <v>84.194128157331988</v>
      </c>
      <c r="R34" s="323">
        <f>INDEX('Volume adjustments'!$J$571:$Y$611,R$17 + 1 + $H34*$H$39, R$15)</f>
        <v>0</v>
      </c>
      <c r="S34" s="323">
        <f>INDEX('Volume adjustments'!$J$571:$Y$611,S$17 + 1 + $H34*$H$39, S$15)</f>
        <v>891.14116200582839</v>
      </c>
      <c r="T34" s="323">
        <f>INDEX('Volume adjustments'!$J$571:$Y$611,T$17 + 1 + $H34*$H$39, T$15)</f>
        <v>2362.2401055385371</v>
      </c>
      <c r="U34" s="323">
        <f>INDEX('Volume adjustments'!$J$571:$Y$611,U$17 + 1 + $H34*$H$39, U$15)</f>
        <v>3977.6859736521201</v>
      </c>
      <c r="V34" s="323">
        <f>INDEX('Volume adjustments'!$J$571:$Y$611,V$17 + 1 + $H34*$H$39, V$15)</f>
        <v>2204.4119737285764</v>
      </c>
      <c r="W34" s="323">
        <f>INDEX('Volume adjustments'!$J$571:$Y$611,W$17 + 1 + $H34*$H$39, W$15)</f>
        <v>0</v>
      </c>
      <c r="X34" s="323">
        <f>INDEX('Volume adjustments'!$J$571:$Y$611,X$17 + 1 + $H34*$H$39, X$15)</f>
        <v>0</v>
      </c>
      <c r="Y34" s="323">
        <f>INDEX('Volume adjustments'!$J$571:$Y$611,Y$17 + 1 + $H34*$H$39, Y$15)</f>
        <v>0</v>
      </c>
      <c r="Z34" s="323">
        <f>INDEX('Volume adjustments'!$J$571:$Y$611,Z$17 + 1 + $H34*$H$39, Z$15)</f>
        <v>0</v>
      </c>
      <c r="AA34" s="323">
        <f>INDEX('Volume adjustments'!$J$571:$Y$611,AA$17 + 1 + $H34*$H$39, AA$15)</f>
        <v>0</v>
      </c>
      <c r="AB34" s="323">
        <f>INDEX('Volume adjustments'!$J$571:$Y$611,AB$17 + 1 + $H34*$H$39, AB$15)</f>
        <v>0</v>
      </c>
      <c r="AC34" s="323">
        <f>INDEX('Volume adjustments'!$J$571:$Y$611,AC$17 + 1 + $H34*$H$39, AC$15)</f>
        <v>0</v>
      </c>
      <c r="AD34" s="323">
        <f>INDEX('Volume adjustments'!$J$571:$Y$611,AD$17 + 1 + $H34*$H$39, AD$15)</f>
        <v>0</v>
      </c>
      <c r="AE34" s="323">
        <f>INDEX('Volume adjustments'!$J$571:$Y$611,AE$17 + 1 + $H34*$H$39, AE$15)</f>
        <v>0</v>
      </c>
      <c r="AF34" s="323">
        <f>INDEX('Volume adjustments'!$J$571:$Y$611,AF$17 + 1 + $H34*$H$39, AF$15)</f>
        <v>0</v>
      </c>
      <c r="AG34" s="323">
        <f>INDEX('Volume adjustments'!$J$571:$Y$611,AG$17 + 1 + $H34*$H$39, AG$15)</f>
        <v>36.767992719145923</v>
      </c>
      <c r="AH34" s="323">
        <f>INDEX('Volume adjustments'!$J$571:$Y$611,AH$17 + 1 + $H34*$H$39, AH$15)</f>
        <v>236.631</v>
      </c>
      <c r="AI34" s="323">
        <f>INDEX('Volume adjustments'!$J$571:$Y$611,AI$17 + 1 + $H34*$H$39, AI$15)</f>
        <v>0</v>
      </c>
      <c r="AJ34" s="323">
        <f>INDEX('Volume adjustments'!$J$571:$Y$611,AJ$17 + 1 + $H34*$H$39, AJ$15)</f>
        <v>64.233000000000004</v>
      </c>
      <c r="AK34" s="323">
        <f>INDEX('Volume adjustments'!$J$571:$Y$611,AK$17 + 1 + $H34*$H$39, AK$15)</f>
        <v>0</v>
      </c>
      <c r="AL34" s="323">
        <f>INDEX('Volume adjustments'!$J$571:$Y$611,AL$17 + 1 + $H34*$H$39, AL$15)</f>
        <v>0</v>
      </c>
      <c r="AM34" s="323">
        <f>INDEX('Volume adjustments'!$J$571:$Y$611,AM$17 + 1 + $H34*$H$39, AM$15)</f>
        <v>0</v>
      </c>
      <c r="AN34" s="323">
        <f>INDEX('Volume adjustments'!$J$571:$Y$611,AN$17 + 1 + $H34*$H$39, AN$15)</f>
        <v>0</v>
      </c>
      <c r="AO34" s="323">
        <f>INDEX('Volume adjustments'!$J$571:$Y$611,AO$17 + 1 + $H34*$H$39, AO$15)</f>
        <v>0</v>
      </c>
    </row>
    <row r="35" spans="5:43" x14ac:dyDescent="0.35">
      <c r="E35" s="23"/>
      <c r="F35" s="62" t="s">
        <v>249</v>
      </c>
      <c r="G35" s="62" t="s">
        <v>207</v>
      </c>
      <c r="H35" s="355">
        <v>2</v>
      </c>
      <c r="J35" s="323">
        <f>INDEX('Volume adjustments'!$J$571:$Y$611,J$17 + 1 + $H35*$H$39, J$15)</f>
        <v>16590.570421278677</v>
      </c>
      <c r="K35" s="323">
        <f>INDEX('Volume adjustments'!$J$571:$Y$611,K$17 + 1 + $H35*$H$39, K$15)</f>
        <v>0</v>
      </c>
      <c r="L35" s="323">
        <f>INDEX('Volume adjustments'!$J$571:$Y$611,L$17 + 1 + $H35*$H$39, L$15)</f>
        <v>1.3052759364009814</v>
      </c>
      <c r="M35" s="323">
        <f>INDEX('Volume adjustments'!$J$571:$Y$611,M$17 + 1 + $H35*$H$39, M$15)</f>
        <v>879.00844055323546</v>
      </c>
      <c r="N35" s="323">
        <f>INDEX('Volume adjustments'!$J$571:$Y$611,N$17 + 1 + $H35*$H$39, N$15)</f>
        <v>312.94209581243126</v>
      </c>
      <c r="O35" s="323">
        <f>INDEX('Volume adjustments'!$J$571:$Y$611,O$17 + 1 + $H35*$H$39, O$15)</f>
        <v>569.93253118329801</v>
      </c>
      <c r="P35" s="323">
        <f>INDEX('Volume adjustments'!$J$571:$Y$611,P$17 + 1 + $H35*$H$39, P$15)</f>
        <v>612.24157602113667</v>
      </c>
      <c r="Q35" s="323">
        <f>INDEX('Volume adjustments'!$J$571:$Y$611,Q$17 + 1 + $H35*$H$39, Q$15)</f>
        <v>38.11077354248728</v>
      </c>
      <c r="R35" s="323">
        <f>INDEX('Volume adjustments'!$J$571:$Y$611,R$17 + 1 + $H35*$H$39, R$15)</f>
        <v>0</v>
      </c>
      <c r="S35" s="323">
        <f>INDEX('Volume adjustments'!$J$571:$Y$611,S$17 + 1 + $H35*$H$39, S$15)</f>
        <v>507.94335818651399</v>
      </c>
      <c r="T35" s="323">
        <f>INDEX('Volume adjustments'!$J$571:$Y$611,T$17 + 1 + $H35*$H$39, T$15)</f>
        <v>1346.4580284332799</v>
      </c>
      <c r="U35" s="323">
        <f>INDEX('Volume adjustments'!$J$571:$Y$611,U$17 + 1 + $H35*$H$39, U$15)</f>
        <v>2267.2492949607877</v>
      </c>
      <c r="V35" s="323">
        <f>INDEX('Volume adjustments'!$J$571:$Y$611,V$17 + 1 + $H35*$H$39, V$15)</f>
        <v>1256.4972515038321</v>
      </c>
      <c r="W35" s="323">
        <f>INDEX('Volume adjustments'!$J$571:$Y$611,W$17 + 1 + $H35*$H$39, W$15)</f>
        <v>0</v>
      </c>
      <c r="X35" s="323">
        <f>INDEX('Volume adjustments'!$J$571:$Y$611,X$17 + 1 + $H35*$H$39, X$15)</f>
        <v>0</v>
      </c>
      <c r="Y35" s="323">
        <f>INDEX('Volume adjustments'!$J$571:$Y$611,Y$17 + 1 + $H35*$H$39, Y$15)</f>
        <v>0</v>
      </c>
      <c r="Z35" s="323">
        <f>INDEX('Volume adjustments'!$J$571:$Y$611,Z$17 + 1 + $H35*$H$39, Z$15)</f>
        <v>0</v>
      </c>
      <c r="AA35" s="323">
        <f>INDEX('Volume adjustments'!$J$571:$Y$611,AA$17 + 1 + $H35*$H$39, AA$15)</f>
        <v>0</v>
      </c>
      <c r="AB35" s="323">
        <f>INDEX('Volume adjustments'!$J$571:$Y$611,AB$17 + 1 + $H35*$H$39, AB$15)</f>
        <v>0</v>
      </c>
      <c r="AC35" s="323">
        <f>INDEX('Volume adjustments'!$J$571:$Y$611,AC$17 + 1 + $H35*$H$39, AC$15)</f>
        <v>0</v>
      </c>
      <c r="AD35" s="323">
        <f>INDEX('Volume adjustments'!$J$571:$Y$611,AD$17 + 1 + $H35*$H$39, AD$15)</f>
        <v>0</v>
      </c>
      <c r="AE35" s="323">
        <f>INDEX('Volume adjustments'!$J$571:$Y$611,AE$17 + 1 + $H35*$H$39, AE$15)</f>
        <v>0</v>
      </c>
      <c r="AF35" s="323">
        <f>INDEX('Volume adjustments'!$J$571:$Y$611,AF$17 + 1 + $H35*$H$39, AF$15)</f>
        <v>0</v>
      </c>
      <c r="AG35" s="323">
        <f>INDEX('Volume adjustments'!$J$571:$Y$611,AG$17 + 1 + $H35*$H$39, AG$15)</f>
        <v>30.624798657932054</v>
      </c>
      <c r="AH35" s="323">
        <f>INDEX('Volume adjustments'!$J$571:$Y$611,AH$17 + 1 + $H35*$H$39, AH$15)</f>
        <v>21.694000000000003</v>
      </c>
      <c r="AI35" s="323">
        <f>INDEX('Volume adjustments'!$J$571:$Y$611,AI$17 + 1 + $H35*$H$39, AI$15)</f>
        <v>0</v>
      </c>
      <c r="AJ35" s="323">
        <f>INDEX('Volume adjustments'!$J$571:$Y$611,AJ$17 + 1 + $H35*$H$39, AJ$15)</f>
        <v>2.7059999999999991</v>
      </c>
      <c r="AK35" s="323">
        <f>INDEX('Volume adjustments'!$J$571:$Y$611,AK$17 + 1 + $H35*$H$39, AK$15)</f>
        <v>0</v>
      </c>
      <c r="AL35" s="323">
        <f>INDEX('Volume adjustments'!$J$571:$Y$611,AL$17 + 1 + $H35*$H$39, AL$15)</f>
        <v>0</v>
      </c>
      <c r="AM35" s="323">
        <f>INDEX('Volume adjustments'!$J$571:$Y$611,AM$17 + 1 + $H35*$H$39, AM$15)</f>
        <v>0</v>
      </c>
      <c r="AN35" s="323">
        <f>INDEX('Volume adjustments'!$J$571:$Y$611,AN$17 + 1 + $H35*$H$39, AN$15)</f>
        <v>0</v>
      </c>
      <c r="AO35" s="323">
        <f>INDEX('Volume adjustments'!$J$571:$Y$611,AO$17 + 1 + $H35*$H$39, AO$15)</f>
        <v>0</v>
      </c>
    </row>
    <row r="36" spans="5:43" x14ac:dyDescent="0.35">
      <c r="E36" s="23"/>
      <c r="F36" s="62" t="s">
        <v>212</v>
      </c>
      <c r="G36" s="62" t="s">
        <v>212</v>
      </c>
      <c r="H36" s="355">
        <v>3</v>
      </c>
      <c r="J36" s="323">
        <f>INDEX('Volume adjustments'!$J$571:$Y$611,J$17 + 1 + $H36*$H$39, J$15)</f>
        <v>34816.432226804616</v>
      </c>
      <c r="K36" s="323">
        <f>INDEX('Volume adjustments'!$J$571:$Y$611,K$17 + 1 + $H36*$H$39, K$15)</f>
        <v>0</v>
      </c>
      <c r="L36" s="323">
        <f>INDEX('Volume adjustments'!$J$571:$Y$611,L$17 + 1 + $H36*$H$39, L$15)</f>
        <v>1.1689037165358789</v>
      </c>
      <c r="M36" s="323">
        <f>INDEX('Volume adjustments'!$J$571:$Y$611,M$17 + 1 + $H36*$H$39, M$15)</f>
        <v>517.82434642539442</v>
      </c>
      <c r="N36" s="323">
        <f>INDEX('Volume adjustments'!$J$571:$Y$611,N$17 + 1 + $H36*$H$39, N$15)</f>
        <v>170.47140975673258</v>
      </c>
      <c r="O36" s="323">
        <f>INDEX('Volume adjustments'!$J$571:$Y$611,O$17 + 1 + $H36*$H$39, O$15)</f>
        <v>211.60927926449529</v>
      </c>
      <c r="P36" s="323">
        <f>INDEX('Volume adjustments'!$J$571:$Y$611,P$17 + 1 + $H36*$H$39, P$15)</f>
        <v>75.827915288827512</v>
      </c>
      <c r="Q36" s="323">
        <f>INDEX('Volume adjustments'!$J$571:$Y$611,Q$17 + 1 + $H36*$H$39, Q$15)</f>
        <v>3.0357142857142851</v>
      </c>
      <c r="R36" s="323">
        <f>INDEX('Volume adjustments'!$J$571:$Y$611,R$17 + 1 + $H36*$H$39, R$15)</f>
        <v>0</v>
      </c>
      <c r="S36" s="323">
        <f>INDEX('Volume adjustments'!$J$571:$Y$611,S$17 + 1 + $H36*$H$39, S$15)</f>
        <v>29.520983168780315</v>
      </c>
      <c r="T36" s="323">
        <f>INDEX('Volume adjustments'!$J$571:$Y$611,T$17 + 1 + $H36*$H$39, T$15)</f>
        <v>80.649736147757281</v>
      </c>
      <c r="U36" s="323">
        <f>INDEX('Volume adjustments'!$J$571:$Y$611,U$17 + 1 + $H36*$H$39, U$15)</f>
        <v>76.458262405311061</v>
      </c>
      <c r="V36" s="323">
        <f>INDEX('Volume adjustments'!$J$571:$Y$611,V$17 + 1 + $H36*$H$39, V$15)</f>
        <v>32.483921503957795</v>
      </c>
      <c r="W36" s="323">
        <f>INDEX('Volume adjustments'!$J$571:$Y$611,W$17 + 1 + $H36*$H$39, W$15)</f>
        <v>0</v>
      </c>
      <c r="X36" s="323">
        <f>INDEX('Volume adjustments'!$J$571:$Y$611,X$17 + 1 + $H36*$H$39, X$15)</f>
        <v>0</v>
      </c>
      <c r="Y36" s="323">
        <f>INDEX('Volume adjustments'!$J$571:$Y$611,Y$17 + 1 + $H36*$H$39, Y$15)</f>
        <v>0</v>
      </c>
      <c r="Z36" s="323">
        <f>INDEX('Volume adjustments'!$J$571:$Y$611,Z$17 + 1 + $H36*$H$39, Z$15)</f>
        <v>0</v>
      </c>
      <c r="AA36" s="323">
        <f>INDEX('Volume adjustments'!$J$571:$Y$611,AA$17 + 1 + $H36*$H$39, AA$15)</f>
        <v>0</v>
      </c>
      <c r="AB36" s="323">
        <f>INDEX('Volume adjustments'!$J$571:$Y$611,AB$17 + 1 + $H36*$H$39, AB$15)</f>
        <v>0</v>
      </c>
      <c r="AC36" s="323">
        <f>INDEX('Volume adjustments'!$J$571:$Y$611,AC$17 + 1 + $H36*$H$39, AC$15)</f>
        <v>0</v>
      </c>
      <c r="AD36" s="323">
        <f>INDEX('Volume adjustments'!$J$571:$Y$611,AD$17 + 1 + $H36*$H$39, AD$15)</f>
        <v>0</v>
      </c>
      <c r="AE36" s="323">
        <f>INDEX('Volume adjustments'!$J$571:$Y$611,AE$17 + 1 + $H36*$H$39, AE$15)</f>
        <v>0</v>
      </c>
      <c r="AF36" s="323">
        <f>INDEX('Volume adjustments'!$J$571:$Y$611,AF$17 + 1 + $H36*$H$39, AF$15)</f>
        <v>0</v>
      </c>
      <c r="AG36" s="323">
        <f>INDEX('Volume adjustments'!$J$571:$Y$611,AG$17 + 1 + $H36*$H$39, AG$15)</f>
        <v>71</v>
      </c>
      <c r="AH36" s="323">
        <f>INDEX('Volume adjustments'!$J$571:$Y$611,AH$17 + 1 + $H36*$H$39, AH$15)</f>
        <v>104.41935483870968</v>
      </c>
      <c r="AI36" s="323">
        <f>INDEX('Volume adjustments'!$J$571:$Y$611,AI$17 + 1 + $H36*$H$39, AI$15)</f>
        <v>0</v>
      </c>
      <c r="AJ36" s="323">
        <f>INDEX('Volume adjustments'!$J$571:$Y$611,AJ$17 + 1 + $H36*$H$39, AJ$15)</f>
        <v>1</v>
      </c>
      <c r="AK36" s="323">
        <f>INDEX('Volume adjustments'!$J$571:$Y$611,AK$17 + 1 + $H36*$H$39, AK$15)</f>
        <v>0</v>
      </c>
      <c r="AL36" s="323">
        <f>INDEX('Volume adjustments'!$J$571:$Y$611,AL$17 + 1 + $H36*$H$39, AL$15)</f>
        <v>0</v>
      </c>
      <c r="AM36" s="323">
        <f>INDEX('Volume adjustments'!$J$571:$Y$611,AM$17 + 1 + $H36*$H$39, AM$15)</f>
        <v>0</v>
      </c>
      <c r="AN36" s="323">
        <f>INDEX('Volume adjustments'!$J$571:$Y$611,AN$17 + 1 + $H36*$H$39, AN$15)</f>
        <v>0</v>
      </c>
      <c r="AO36" s="323">
        <f>INDEX('Volume adjustments'!$J$571:$Y$611,AO$17 + 1 + $H36*$H$39, AO$15)</f>
        <v>0</v>
      </c>
    </row>
    <row r="37" spans="5:43" x14ac:dyDescent="0.35">
      <c r="E37" s="23"/>
      <c r="F37" s="62" t="s">
        <v>250</v>
      </c>
      <c r="G37" s="62" t="s">
        <v>251</v>
      </c>
      <c r="H37" s="355">
        <v>4</v>
      </c>
      <c r="J37" s="323">
        <f>INDEX('Volume adjustments'!$J$571:$Y$611,J$17 + 1 + $H37*$H$39, J$15)</f>
        <v>0</v>
      </c>
      <c r="K37" s="323">
        <f>INDEX('Volume adjustments'!$J$571:$Y$611,K$17 + 1 + $H37*$H$39, K$15)</f>
        <v>0</v>
      </c>
      <c r="L37" s="323">
        <f>INDEX('Volume adjustments'!$J$571:$Y$611,L$17 + 1 + $H37*$H$39, L$15)</f>
        <v>0</v>
      </c>
      <c r="M37" s="323">
        <f>INDEX('Volume adjustments'!$J$571:$Y$611,M$17 + 1 + $H37*$H$39, M$15)</f>
        <v>0</v>
      </c>
      <c r="N37" s="323">
        <f>INDEX('Volume adjustments'!$J$571:$Y$611,N$17 + 1 + $H37*$H$39, N$15)</f>
        <v>0</v>
      </c>
      <c r="O37" s="323">
        <f>INDEX('Volume adjustments'!$J$571:$Y$611,O$17 + 1 + $H37*$H$39, O$15)</f>
        <v>0</v>
      </c>
      <c r="P37" s="323">
        <f>INDEX('Volume adjustments'!$J$571:$Y$611,P$17 + 1 + $H37*$H$39, P$15)</f>
        <v>0</v>
      </c>
      <c r="Q37" s="323">
        <f>INDEX('Volume adjustments'!$J$571:$Y$611,Q$17 + 1 + $H37*$H$39, Q$15)</f>
        <v>0</v>
      </c>
      <c r="R37" s="323">
        <f>INDEX('Volume adjustments'!$J$571:$Y$611,R$17 + 1 + $H37*$H$39, R$15)</f>
        <v>0</v>
      </c>
      <c r="S37" s="323">
        <f>INDEX('Volume adjustments'!$J$571:$Y$611,S$17 + 1 + $H37*$H$39, S$15)</f>
        <v>3317.1094502191418</v>
      </c>
      <c r="T37" s="323">
        <f>INDEX('Volume adjustments'!$J$571:$Y$611,T$17 + 1 + $H37*$H$39, T$15)</f>
        <v>8793.0053193046151</v>
      </c>
      <c r="U37" s="323">
        <f>INDEX('Volume adjustments'!$J$571:$Y$611,U$17 + 1 + $H37*$H$39, U$15)</f>
        <v>14806.206127328769</v>
      </c>
      <c r="V37" s="323">
        <f>INDEX('Volume adjustments'!$J$571:$Y$611,V$17 + 1 + $H37*$H$39, V$15)</f>
        <v>8205.519060271472</v>
      </c>
      <c r="W37" s="323">
        <f>INDEX('Volume adjustments'!$J$571:$Y$611,W$17 + 1 + $H37*$H$39, W$15)</f>
        <v>0</v>
      </c>
      <c r="X37" s="323">
        <f>INDEX('Volume adjustments'!$J$571:$Y$611,X$17 + 1 + $H37*$H$39, X$15)</f>
        <v>0</v>
      </c>
      <c r="Y37" s="323">
        <f>INDEX('Volume adjustments'!$J$571:$Y$611,Y$17 + 1 + $H37*$H$39, Y$15)</f>
        <v>0</v>
      </c>
      <c r="Z37" s="323">
        <f>INDEX('Volume adjustments'!$J$571:$Y$611,Z$17 + 1 + $H37*$H$39, Z$15)</f>
        <v>0</v>
      </c>
      <c r="AA37" s="323">
        <f>INDEX('Volume adjustments'!$J$571:$Y$611,AA$17 + 1 + $H37*$H$39, AA$15)</f>
        <v>0</v>
      </c>
      <c r="AB37" s="323">
        <f>INDEX('Volume adjustments'!$J$571:$Y$611,AB$17 + 1 + $H37*$H$39, AB$15)</f>
        <v>0</v>
      </c>
      <c r="AC37" s="323">
        <f>INDEX('Volume adjustments'!$J$571:$Y$611,AC$17 + 1 + $H37*$H$39, AC$15)</f>
        <v>0</v>
      </c>
      <c r="AD37" s="323">
        <f>INDEX('Volume adjustments'!$J$571:$Y$611,AD$17 + 1 + $H37*$H$39, AD$15)</f>
        <v>0</v>
      </c>
      <c r="AE37" s="323">
        <f>INDEX('Volume adjustments'!$J$571:$Y$611,AE$17 + 1 + $H37*$H$39, AE$15)</f>
        <v>0</v>
      </c>
      <c r="AF37" s="323">
        <f>INDEX('Volume adjustments'!$J$571:$Y$611,AF$17 + 1 + $H37*$H$39, AF$15)</f>
        <v>0</v>
      </c>
      <c r="AG37" s="323">
        <f>INDEX('Volume adjustments'!$J$571:$Y$611,AG$17 + 1 + $H37*$H$39, AG$15)</f>
        <v>0</v>
      </c>
      <c r="AH37" s="323">
        <f>INDEX('Volume adjustments'!$J$571:$Y$611,AH$17 + 1 + $H37*$H$39, AH$15)</f>
        <v>0</v>
      </c>
      <c r="AI37" s="323">
        <f>INDEX('Volume adjustments'!$J$571:$Y$611,AI$17 + 1 + $H37*$H$39, AI$15)</f>
        <v>0</v>
      </c>
      <c r="AJ37" s="323">
        <f>INDEX('Volume adjustments'!$J$571:$Y$611,AJ$17 + 1 + $H37*$H$39, AJ$15)</f>
        <v>0</v>
      </c>
      <c r="AK37" s="323">
        <f>INDEX('Volume adjustments'!$J$571:$Y$611,AK$17 + 1 + $H37*$H$39, AK$15)</f>
        <v>0</v>
      </c>
      <c r="AL37" s="323">
        <f>INDEX('Volume adjustments'!$J$571:$Y$611,AL$17 + 1 + $H37*$H$39, AL$15)</f>
        <v>0</v>
      </c>
      <c r="AM37" s="323">
        <f>INDEX('Volume adjustments'!$J$571:$Y$611,AM$17 + 1 + $H37*$H$39, AM$15)</f>
        <v>0</v>
      </c>
      <c r="AN37" s="323">
        <f>INDEX('Volume adjustments'!$J$571:$Y$611,AN$17 + 1 + $H37*$H$39, AN$15)</f>
        <v>0</v>
      </c>
      <c r="AO37" s="323">
        <f>INDEX('Volume adjustments'!$J$571:$Y$611,AO$17 + 1 + $H37*$H$39, AO$15)</f>
        <v>0</v>
      </c>
    </row>
    <row r="38" spans="5:43" x14ac:dyDescent="0.35">
      <c r="E38" s="23"/>
      <c r="F38" s="62" t="s">
        <v>252</v>
      </c>
      <c r="G38" s="62" t="s">
        <v>251</v>
      </c>
      <c r="H38" s="355">
        <v>5</v>
      </c>
      <c r="J38" s="323">
        <f>INDEX('Volume adjustments'!$J$571:$Y$611,J$17 + 1 + $H38*$H$39, J$15)</f>
        <v>0</v>
      </c>
      <c r="K38" s="323">
        <f>INDEX('Volume adjustments'!$J$571:$Y$611,K$17 + 1 + $H38*$H$39, K$15)</f>
        <v>0</v>
      </c>
      <c r="L38" s="323">
        <f>INDEX('Volume adjustments'!$J$571:$Y$611,L$17 + 1 + $H38*$H$39, L$15)</f>
        <v>0</v>
      </c>
      <c r="M38" s="323">
        <f>INDEX('Volume adjustments'!$J$571:$Y$611,M$17 + 1 + $H38*$H$39, M$15)</f>
        <v>0</v>
      </c>
      <c r="N38" s="323">
        <f>INDEX('Volume adjustments'!$J$571:$Y$611,N$17 + 1 + $H38*$H$39, N$15)</f>
        <v>0</v>
      </c>
      <c r="O38" s="323">
        <f>INDEX('Volume adjustments'!$J$571:$Y$611,O$17 + 1 + $H38*$H$39, O$15)</f>
        <v>0</v>
      </c>
      <c r="P38" s="323">
        <f>INDEX('Volume adjustments'!$J$571:$Y$611,P$17 + 1 + $H38*$H$39, P$15)</f>
        <v>0</v>
      </c>
      <c r="Q38" s="323">
        <f>INDEX('Volume adjustments'!$J$571:$Y$611,Q$17 + 1 + $H38*$H$39, Q$15)</f>
        <v>0</v>
      </c>
      <c r="R38" s="323">
        <f>INDEX('Volume adjustments'!$J$571:$Y$611,R$17 + 1 + $H38*$H$39, R$15)</f>
        <v>0</v>
      </c>
      <c r="S38" s="323">
        <f>INDEX('Volume adjustments'!$J$571:$Y$611,S$17 + 1 + $H38*$H$39, S$15)</f>
        <v>7.1938587981151887</v>
      </c>
      <c r="T38" s="323">
        <f>INDEX('Volume adjustments'!$J$571:$Y$611,T$17 + 1 + $H38*$H$39, T$15)</f>
        <v>19.069506034530825</v>
      </c>
      <c r="U38" s="323">
        <f>INDEX('Volume adjustments'!$J$571:$Y$611,U$17 + 1 + $H38*$H$39, U$15)</f>
        <v>32.110413543561052</v>
      </c>
      <c r="V38" s="323">
        <f>INDEX('Volume adjustments'!$J$571:$Y$611,V$17 + 1 + $H38*$H$39, V$15)</f>
        <v>17.795416874452567</v>
      </c>
      <c r="W38" s="323">
        <f>INDEX('Volume adjustments'!$J$571:$Y$611,W$17 + 1 + $H38*$H$39, W$15)</f>
        <v>0</v>
      </c>
      <c r="X38" s="323">
        <f>INDEX('Volume adjustments'!$J$571:$Y$611,X$17 + 1 + $H38*$H$39, X$15)</f>
        <v>0</v>
      </c>
      <c r="Y38" s="323">
        <f>INDEX('Volume adjustments'!$J$571:$Y$611,Y$17 + 1 + $H38*$H$39, Y$15)</f>
        <v>0</v>
      </c>
      <c r="Z38" s="323">
        <f>INDEX('Volume adjustments'!$J$571:$Y$611,Z$17 + 1 + $H38*$H$39, Z$15)</f>
        <v>0</v>
      </c>
      <c r="AA38" s="323">
        <f>INDEX('Volume adjustments'!$J$571:$Y$611,AA$17 + 1 + $H38*$H$39, AA$15)</f>
        <v>0</v>
      </c>
      <c r="AB38" s="323">
        <f>INDEX('Volume adjustments'!$J$571:$Y$611,AB$17 + 1 + $H38*$H$39, AB$15)</f>
        <v>0</v>
      </c>
      <c r="AC38" s="323">
        <f>INDEX('Volume adjustments'!$J$571:$Y$611,AC$17 + 1 + $H38*$H$39, AC$15)</f>
        <v>0</v>
      </c>
      <c r="AD38" s="323">
        <f>INDEX('Volume adjustments'!$J$571:$Y$611,AD$17 + 1 + $H38*$H$39, AD$15)</f>
        <v>0</v>
      </c>
      <c r="AE38" s="323">
        <f>INDEX('Volume adjustments'!$J$571:$Y$611,AE$17 + 1 + $H38*$H$39, AE$15)</f>
        <v>0</v>
      </c>
      <c r="AF38" s="323">
        <f>INDEX('Volume adjustments'!$J$571:$Y$611,AF$17 + 1 + $H38*$H$39, AF$15)</f>
        <v>0</v>
      </c>
      <c r="AG38" s="323">
        <f>INDEX('Volume adjustments'!$J$571:$Y$611,AG$17 + 1 + $H38*$H$39, AG$15)</f>
        <v>0</v>
      </c>
      <c r="AH38" s="323">
        <f>INDEX('Volume adjustments'!$J$571:$Y$611,AH$17 + 1 + $H38*$H$39, AH$15)</f>
        <v>0</v>
      </c>
      <c r="AI38" s="323">
        <f>INDEX('Volume adjustments'!$J$571:$Y$611,AI$17 + 1 + $H38*$H$39, AI$15)</f>
        <v>0</v>
      </c>
      <c r="AJ38" s="323">
        <f>INDEX('Volume adjustments'!$J$571:$Y$611,AJ$17 + 1 + $H38*$H$39, AJ$15)</f>
        <v>0</v>
      </c>
      <c r="AK38" s="323">
        <f>INDEX('Volume adjustments'!$J$571:$Y$611,AK$17 + 1 + $H38*$H$39, AK$15)</f>
        <v>0</v>
      </c>
      <c r="AL38" s="323">
        <f>INDEX('Volume adjustments'!$J$571:$Y$611,AL$17 + 1 + $H38*$H$39, AL$15)</f>
        <v>0</v>
      </c>
      <c r="AM38" s="323">
        <f>INDEX('Volume adjustments'!$J$571:$Y$611,AM$17 + 1 + $H38*$H$39, AM$15)</f>
        <v>0</v>
      </c>
      <c r="AN38" s="323">
        <f>INDEX('Volume adjustments'!$J$571:$Y$611,AN$17 + 1 + $H38*$H$39, AN$15)</f>
        <v>0</v>
      </c>
      <c r="AO38" s="323">
        <f>INDEX('Volume adjustments'!$J$571:$Y$611,AO$17 + 1 + $H38*$H$39, AO$15)</f>
        <v>0</v>
      </c>
    </row>
    <row r="39" spans="5:43" x14ac:dyDescent="0.35">
      <c r="E39" s="23"/>
      <c r="F39" s="70" t="s">
        <v>253</v>
      </c>
      <c r="G39" s="70" t="s">
        <v>254</v>
      </c>
      <c r="H39" s="311">
        <v>6</v>
      </c>
      <c r="I39" s="28"/>
      <c r="J39" s="185">
        <f>INDEX('Volume adjustments'!$J$571:$Y$611,J$17 + 1 + $H39*$H$39, J$15)</f>
        <v>0</v>
      </c>
      <c r="K39" s="185">
        <f>INDEX('Volume adjustments'!$J$571:$Y$611,K$17 + 1 + $H39*$H$39, K$15)</f>
        <v>0</v>
      </c>
      <c r="L39" s="185">
        <f>INDEX('Volume adjustments'!$J$571:$Y$611,L$17 + 1 + $H39*$H$39, L$15)</f>
        <v>0</v>
      </c>
      <c r="M39" s="185">
        <f>INDEX('Volume adjustments'!$J$571:$Y$611,M$17 + 1 + $H39*$H$39, M$15)</f>
        <v>0</v>
      </c>
      <c r="N39" s="185">
        <f>INDEX('Volume adjustments'!$J$571:$Y$611,N$17 + 1 + $H39*$H$39, N$15)</f>
        <v>0</v>
      </c>
      <c r="O39" s="185">
        <f>INDEX('Volume adjustments'!$J$571:$Y$611,O$17 + 1 + $H39*$H$39, O$15)</f>
        <v>0</v>
      </c>
      <c r="P39" s="185">
        <f>INDEX('Volume adjustments'!$J$571:$Y$611,P$17 + 1 + $H39*$H$39, P$15)</f>
        <v>0</v>
      </c>
      <c r="Q39" s="185">
        <f>INDEX('Volume adjustments'!$J$571:$Y$611,Q$17 + 1 + $H39*$H$39, Q$15)</f>
        <v>0</v>
      </c>
      <c r="R39" s="185">
        <f>INDEX('Volume adjustments'!$J$571:$Y$611,R$17 + 1 + $H39*$H$39, R$15)</f>
        <v>0</v>
      </c>
      <c r="S39" s="185">
        <f>INDEX('Volume adjustments'!$J$571:$Y$611,S$17 + 1 + $H39*$H$39, S$15)</f>
        <v>256.6441034040792</v>
      </c>
      <c r="T39" s="185">
        <f>INDEX('Volume adjustments'!$J$571:$Y$611,T$17 + 1 + $H39*$H$39, T$15)</f>
        <v>680.31308591615721</v>
      </c>
      <c r="U39" s="185">
        <f>INDEX('Volume adjustments'!$J$571:$Y$611,U$17 + 1 + $H39*$H$39, U$15)</f>
        <v>1145.5532454960862</v>
      </c>
      <c r="V39" s="185">
        <f>INDEX('Volume adjustments'!$J$571:$Y$611,V$17 + 1 + $H39*$H$39, V$15)</f>
        <v>634.85939001781514</v>
      </c>
      <c r="W39" s="185">
        <f>INDEX('Volume adjustments'!$J$571:$Y$611,W$17 + 1 + $H39*$H$39, W$15)</f>
        <v>0</v>
      </c>
      <c r="X39" s="185">
        <f>INDEX('Volume adjustments'!$J$571:$Y$611,X$17 + 1 + $H39*$H$39, X$15)</f>
        <v>0</v>
      </c>
      <c r="Y39" s="185">
        <f>INDEX('Volume adjustments'!$J$571:$Y$611,Y$17 + 1 + $H39*$H$39, Y$15)</f>
        <v>0</v>
      </c>
      <c r="Z39" s="185">
        <f>INDEX('Volume adjustments'!$J$571:$Y$611,Z$17 + 1 + $H39*$H$39, Z$15)</f>
        <v>0</v>
      </c>
      <c r="AA39" s="185">
        <f>INDEX('Volume adjustments'!$J$571:$Y$611,AA$17 + 1 + $H39*$H$39, AA$15)</f>
        <v>0</v>
      </c>
      <c r="AB39" s="185">
        <f>INDEX('Volume adjustments'!$J$571:$Y$611,AB$17 + 1 + $H39*$H$39, AB$15)</f>
        <v>0</v>
      </c>
      <c r="AC39" s="185">
        <f>INDEX('Volume adjustments'!$J$571:$Y$611,AC$17 + 1 + $H39*$H$39, AC$15)</f>
        <v>0</v>
      </c>
      <c r="AD39" s="185">
        <f>INDEX('Volume adjustments'!$J$571:$Y$611,AD$17 + 1 + $H39*$H$39, AD$15)</f>
        <v>0</v>
      </c>
      <c r="AE39" s="185">
        <f>INDEX('Volume adjustments'!$J$571:$Y$611,AE$17 + 1 + $H39*$H$39, AE$15)</f>
        <v>0</v>
      </c>
      <c r="AF39" s="185">
        <f>INDEX('Volume adjustments'!$J$571:$Y$611,AF$17 + 1 + $H39*$H$39, AF$15)</f>
        <v>0</v>
      </c>
      <c r="AG39" s="185">
        <f>INDEX('Volume adjustments'!$J$571:$Y$611,AG$17 + 1 + $H39*$H$39, AG$15)</f>
        <v>0</v>
      </c>
      <c r="AH39" s="185">
        <f>INDEX('Volume adjustments'!$J$571:$Y$611,AH$17 + 1 + $H39*$H$39, AH$15)</f>
        <v>0</v>
      </c>
      <c r="AI39" s="185">
        <f>INDEX('Volume adjustments'!$J$571:$Y$611,AI$17 + 1 + $H39*$H$39, AI$15)</f>
        <v>0</v>
      </c>
      <c r="AJ39" s="185">
        <f>INDEX('Volume adjustments'!$J$571:$Y$611,AJ$17 + 1 + $H39*$H$39, AJ$15)</f>
        <v>1.3384781668828363</v>
      </c>
      <c r="AK39" s="185">
        <f>INDEX('Volume adjustments'!$J$571:$Y$611,AK$17 + 1 + $H39*$H$39, AK$15)</f>
        <v>0</v>
      </c>
      <c r="AL39" s="185">
        <f>INDEX('Volume adjustments'!$J$571:$Y$611,AL$17 + 1 + $H39*$H$39, AL$15)</f>
        <v>0</v>
      </c>
      <c r="AM39" s="185">
        <f>INDEX('Volume adjustments'!$J$571:$Y$611,AM$17 + 1 + $H39*$H$39, AM$15)</f>
        <v>0</v>
      </c>
      <c r="AN39" s="185">
        <f>INDEX('Volume adjustments'!$J$571:$Y$611,AN$17 + 1 + $H39*$H$39, AN$15)</f>
        <v>0</v>
      </c>
      <c r="AO39" s="185">
        <f>INDEX('Volume adjustments'!$J$571:$Y$611,AO$17 + 1 + $H39*$H$39, AO$15)</f>
        <v>0</v>
      </c>
    </row>
    <row r="40" spans="5:43" s="249" customFormat="1" x14ac:dyDescent="0.35">
      <c r="E40" s="253"/>
      <c r="F40" s="225"/>
      <c r="G40" s="225"/>
      <c r="J40" s="254"/>
      <c r="K40" s="254"/>
      <c r="L40" s="254"/>
      <c r="M40" s="254"/>
      <c r="N40" s="254"/>
      <c r="O40" s="254"/>
      <c r="P40" s="254"/>
      <c r="Q40" s="254"/>
      <c r="R40" s="254"/>
      <c r="S40" s="254"/>
      <c r="T40" s="254"/>
      <c r="U40" s="254"/>
      <c r="V40" s="254"/>
      <c r="W40" s="254"/>
      <c r="X40" s="254"/>
      <c r="Y40" s="254"/>
      <c r="Z40" s="254"/>
      <c r="AA40" s="254"/>
      <c r="AB40" s="254"/>
      <c r="AC40" s="254"/>
      <c r="AD40" s="254"/>
      <c r="AE40" s="254"/>
      <c r="AF40" s="254"/>
      <c r="AG40" s="254"/>
      <c r="AH40" s="254"/>
      <c r="AI40" s="254"/>
      <c r="AJ40" s="254"/>
      <c r="AK40" s="254"/>
      <c r="AL40" s="254"/>
      <c r="AM40" s="254"/>
      <c r="AN40" s="254"/>
      <c r="AO40" s="254"/>
    </row>
    <row r="41" spans="5:43" x14ac:dyDescent="0.35">
      <c r="E41" s="27" t="s">
        <v>256</v>
      </c>
      <c r="F41" s="336"/>
      <c r="G41" s="336"/>
      <c r="I41" t="s">
        <v>154</v>
      </c>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Q41" t="s">
        <v>246</v>
      </c>
    </row>
    <row r="42" spans="5:43" x14ac:dyDescent="0.35">
      <c r="E42" s="27"/>
      <c r="F42" s="24" t="s">
        <v>1034</v>
      </c>
    </row>
    <row r="43" spans="5:43" x14ac:dyDescent="0.35">
      <c r="E43" s="27"/>
      <c r="F43" s="377" t="s">
        <v>1030</v>
      </c>
      <c r="G43" s="28"/>
    </row>
    <row r="44" spans="5:43" x14ac:dyDescent="0.35">
      <c r="E44" s="23"/>
      <c r="F44" s="62" t="s">
        <v>247</v>
      </c>
      <c r="G44" s="62" t="s">
        <v>207</v>
      </c>
      <c r="H44" s="310">
        <v>0</v>
      </c>
      <c r="I44" s="19"/>
      <c r="J44" s="183">
        <f>INDEX('Volume adjustments'!$J$615:$Y$655,J$17 + 1 + $H44*$H$50, J$15)</f>
        <v>25936.063443617171</v>
      </c>
      <c r="K44" s="183">
        <f>INDEX('Volume adjustments'!$J$615:$Y$655,K$17 + 1 + $H44*$H$50, K$15)</f>
        <v>129.02316403377972</v>
      </c>
      <c r="L44" s="183">
        <f>INDEX('Volume adjustments'!$J$615:$Y$655,L$17 + 1 + $H44*$H$50, L$15)</f>
        <v>560.65757017340411</v>
      </c>
      <c r="M44" s="183">
        <f>INDEX('Volume adjustments'!$J$615:$Y$655,M$17 + 1 + $H44*$H$50, M$15)</f>
        <v>323.96872396016852</v>
      </c>
      <c r="N44" s="183">
        <f>INDEX('Volume adjustments'!$J$615:$Y$655,N$17 + 1 + $H44*$H$50, N$15)</f>
        <v>718.45912061290528</v>
      </c>
      <c r="O44" s="183">
        <f>INDEX('Volume adjustments'!$J$615:$Y$655,O$17 + 1 + $H44*$H$50, O$15)</f>
        <v>529.47449865049282</v>
      </c>
      <c r="P44" s="183">
        <f>INDEX('Volume adjustments'!$J$615:$Y$655,P$17 + 1 + $H44*$H$50, P$15)</f>
        <v>0</v>
      </c>
      <c r="Q44" s="183">
        <f>INDEX('Volume adjustments'!$J$615:$Y$655,Q$17 + 1 + $H44*$H$50, Q$15)</f>
        <v>28.165165011299294</v>
      </c>
      <c r="R44" s="183">
        <f>INDEX('Volume adjustments'!$J$615:$Y$655,R$17 + 1 + $H44*$H$50, R$15)</f>
        <v>0</v>
      </c>
      <c r="S44" s="183">
        <f>INDEX('Volume adjustments'!$J$615:$Y$655,S$17 + 1 + $H44*$H$50, S$15)</f>
        <v>2008.6163210234347</v>
      </c>
      <c r="T44" s="183">
        <f>INDEX('Volume adjustments'!$J$615:$Y$655,T$17 + 1 + $H44*$H$50, T$15)</f>
        <v>2585.6824116106486</v>
      </c>
      <c r="U44" s="183">
        <f>INDEX('Volume adjustments'!$J$615:$Y$655,U$17 + 1 + $H44*$H$50, U$15)</f>
        <v>1967.5721169921585</v>
      </c>
      <c r="V44" s="183">
        <f>INDEX('Volume adjustments'!$J$615:$Y$655,V$17 + 1 + $H44*$H$50, V$15)</f>
        <v>7949.9141203121799</v>
      </c>
      <c r="W44" s="183">
        <f>INDEX('Volume adjustments'!$J$615:$Y$655,W$17 + 1 + $H44*$H$50, W$15)</f>
        <v>0</v>
      </c>
      <c r="X44" s="183">
        <f>INDEX('Volume adjustments'!$J$615:$Y$655,X$17 + 1 + $H44*$H$50, X$15)</f>
        <v>1139.0228522073685</v>
      </c>
      <c r="Y44" s="183">
        <f>INDEX('Volume adjustments'!$J$615:$Y$655,Y$17 + 1 + $H44*$H$50, Y$15)</f>
        <v>8.043368109058223</v>
      </c>
      <c r="Z44" s="183">
        <f>INDEX('Volume adjustments'!$J$615:$Y$655,Z$17 + 1 + $H44*$H$50, Z$15)</f>
        <v>40.684877660328141</v>
      </c>
      <c r="AA44" s="183">
        <f>INDEX('Volume adjustments'!$J$615:$Y$655,AA$17 + 1 + $H44*$H$50, AA$15)</f>
        <v>732.61377285711262</v>
      </c>
      <c r="AB44" s="183">
        <f>INDEX('Volume adjustments'!$J$615:$Y$655,AB$17 + 1 + $H44*$H$50, AB$15)</f>
        <v>0</v>
      </c>
      <c r="AC44" s="183">
        <f>INDEX('Volume adjustments'!$J$615:$Y$655,AC$17 + 1 + $H44*$H$50, AC$15)</f>
        <v>430.548447011615</v>
      </c>
      <c r="AD44" s="183">
        <f>INDEX('Volume adjustments'!$J$615:$Y$655,AD$17 + 1 + $H44*$H$50, AD$15)</f>
        <v>815.44886893662465</v>
      </c>
      <c r="AE44" s="183">
        <f>INDEX('Volume adjustments'!$J$615:$Y$655,AE$17 + 1 + $H44*$H$50, AE$15)</f>
        <v>118.11791172995964</v>
      </c>
      <c r="AF44" s="183">
        <f>INDEX('Volume adjustments'!$J$615:$Y$655,AF$17 + 1 + $H44*$H$50, AF$15)</f>
        <v>1074.4197771764254</v>
      </c>
      <c r="AG44" s="183">
        <f>INDEX('Volume adjustments'!$J$615:$Y$655,AG$17 + 1 + $H44*$H$50, AG$15)</f>
        <v>125.108</v>
      </c>
      <c r="AH44" s="183">
        <f>INDEX('Volume adjustments'!$J$615:$Y$655,AH$17 + 1 + $H44*$H$50, AH$15)</f>
        <v>0.13300000000000001</v>
      </c>
      <c r="AI44" s="183">
        <f>INDEX('Volume adjustments'!$J$615:$Y$655,AI$17 + 1 + $H44*$H$50, AI$15)</f>
        <v>15.433999999999999</v>
      </c>
      <c r="AJ44" s="183">
        <f>INDEX('Volume adjustments'!$J$615:$Y$655,AJ$17 + 1 + $H44*$H$50, AJ$15)</f>
        <v>1327.0888980075765</v>
      </c>
      <c r="AK44" s="183">
        <f>INDEX('Volume adjustments'!$J$615:$Y$655,AK$17 + 1 + $H44*$H$50, AK$15)</f>
        <v>0</v>
      </c>
      <c r="AL44" s="183">
        <f>INDEX('Volume adjustments'!$J$615:$Y$655,AL$17 + 1 + $H44*$H$50, AL$15)</f>
        <v>0</v>
      </c>
      <c r="AM44" s="183">
        <f>INDEX('Volume adjustments'!$J$615:$Y$655,AM$17 + 1 + $H44*$H$50, AM$15)</f>
        <v>0</v>
      </c>
      <c r="AN44" s="183">
        <f>INDEX('Volume adjustments'!$J$615:$Y$655,AN$17 + 1 + $H44*$H$50, AN$15)</f>
        <v>26.351155247183883</v>
      </c>
      <c r="AO44" s="183">
        <f>INDEX('Volume adjustments'!$J$615:$Y$655,AO$17 + 1 + $H44*$H$50, AO$15)</f>
        <v>0</v>
      </c>
    </row>
    <row r="45" spans="5:43" x14ac:dyDescent="0.35">
      <c r="E45" s="23"/>
      <c r="F45" s="62" t="s">
        <v>248</v>
      </c>
      <c r="G45" s="62" t="s">
        <v>207</v>
      </c>
      <c r="H45" s="355">
        <v>1</v>
      </c>
      <c r="J45" s="323">
        <f>INDEX('Volume adjustments'!$J$615:$Y$655,J$17 + 1 + $H45*$H$50, J$15)</f>
        <v>113627.71327885594</v>
      </c>
      <c r="K45" s="323">
        <f>INDEX('Volume adjustments'!$J$615:$Y$655,K$17 + 1 + $H45*$H$50, K$15)</f>
        <v>623.84978064236452</v>
      </c>
      <c r="L45" s="323">
        <f>INDEX('Volume adjustments'!$J$615:$Y$655,L$17 + 1 + $H45*$H$50, L$15)</f>
        <v>3535.13682889043</v>
      </c>
      <c r="M45" s="323">
        <f>INDEX('Volume adjustments'!$J$615:$Y$655,M$17 + 1 + $H45*$H$50, M$15)</f>
        <v>2042.7330841640305</v>
      </c>
      <c r="N45" s="323">
        <f>INDEX('Volume adjustments'!$J$615:$Y$655,N$17 + 1 + $H45*$H$50, N$15)</f>
        <v>4530.1293203717378</v>
      </c>
      <c r="O45" s="323">
        <f>INDEX('Volume adjustments'!$J$615:$Y$655,O$17 + 1 + $H45*$H$50, O$15)</f>
        <v>3338.5169481591784</v>
      </c>
      <c r="P45" s="323">
        <f>INDEX('Volume adjustments'!$J$615:$Y$655,P$17 + 1 + $H45*$H$50, P$15)</f>
        <v>0</v>
      </c>
      <c r="Q45" s="323">
        <f>INDEX('Volume adjustments'!$J$615:$Y$655,Q$17 + 1 + $H45*$H$50, Q$15)</f>
        <v>171.31576560045573</v>
      </c>
      <c r="R45" s="323">
        <f>INDEX('Volume adjustments'!$J$615:$Y$655,R$17 + 1 + $H45*$H$50, R$15)</f>
        <v>0</v>
      </c>
      <c r="S45" s="323">
        <f>INDEX('Volume adjustments'!$J$615:$Y$655,S$17 + 1 + $H45*$H$50, S$15)</f>
        <v>10857.101309435961</v>
      </c>
      <c r="T45" s="323">
        <f>INDEX('Volume adjustments'!$J$615:$Y$655,T$17 + 1 + $H45*$H$50, T$15)</f>
        <v>13976.29582267841</v>
      </c>
      <c r="U45" s="323">
        <f>INDEX('Volume adjustments'!$J$615:$Y$655,U$17 + 1 + $H45*$H$50, U$15)</f>
        <v>10635.246554663447</v>
      </c>
      <c r="V45" s="323">
        <f>INDEX('Volume adjustments'!$J$615:$Y$655,V$17 + 1 + $H45*$H$50, V$15)</f>
        <v>42971.383883591268</v>
      </c>
      <c r="W45" s="323">
        <f>INDEX('Volume adjustments'!$J$615:$Y$655,W$17 + 1 + $H45*$H$50, W$15)</f>
        <v>0</v>
      </c>
      <c r="X45" s="323">
        <f>INDEX('Volume adjustments'!$J$615:$Y$655,X$17 + 1 + $H45*$H$50, X$15)</f>
        <v>6416.7182911428245</v>
      </c>
      <c r="Y45" s="323">
        <f>INDEX('Volume adjustments'!$J$615:$Y$655,Y$17 + 1 + $H45*$H$50, Y$15)</f>
        <v>45.31254765237351</v>
      </c>
      <c r="Z45" s="323">
        <f>INDEX('Volume adjustments'!$J$615:$Y$655,Z$17 + 1 + $H45*$H$50, Z$15)</f>
        <v>229.19943893136829</v>
      </c>
      <c r="AA45" s="323">
        <f>INDEX('Volume adjustments'!$J$615:$Y$655,AA$17 + 1 + $H45*$H$50, AA$15)</f>
        <v>4127.2009490636083</v>
      </c>
      <c r="AB45" s="323">
        <f>INDEX('Volume adjustments'!$J$615:$Y$655,AB$17 + 1 + $H45*$H$50, AB$15)</f>
        <v>0</v>
      </c>
      <c r="AC45" s="323">
        <f>INDEX('Volume adjustments'!$J$615:$Y$655,AC$17 + 1 + $H45*$H$50, AC$15)</f>
        <v>2489.3693714466945</v>
      </c>
      <c r="AD45" s="323">
        <f>INDEX('Volume adjustments'!$J$615:$Y$655,AD$17 + 1 + $H45*$H$50, AD$15)</f>
        <v>4714.8084086735098</v>
      </c>
      <c r="AE45" s="323">
        <f>INDEX('Volume adjustments'!$J$615:$Y$655,AE$17 + 1 + $H45*$H$50, AE$15)</f>
        <v>682.94082517471816</v>
      </c>
      <c r="AF45" s="323">
        <f>INDEX('Volume adjustments'!$J$615:$Y$655,AF$17 + 1 + $H45*$H$50, AF$15)</f>
        <v>6212.1410585587864</v>
      </c>
      <c r="AG45" s="323">
        <f>INDEX('Volume adjustments'!$J$615:$Y$655,AG$17 + 1 + $H45*$H$50, AG$15)</f>
        <v>779.30099999999982</v>
      </c>
      <c r="AH45" s="323">
        <f>INDEX('Volume adjustments'!$J$615:$Y$655,AH$17 + 1 + $H45*$H$50, AH$15)</f>
        <v>7.3179999999999996</v>
      </c>
      <c r="AI45" s="323">
        <f>INDEX('Volume adjustments'!$J$615:$Y$655,AI$17 + 1 + $H45*$H$50, AI$15)</f>
        <v>1.6240000000000001</v>
      </c>
      <c r="AJ45" s="323">
        <f>INDEX('Volume adjustments'!$J$615:$Y$655,AJ$17 + 1 + $H45*$H$50, AJ$15)</f>
        <v>5782.7279852995352</v>
      </c>
      <c r="AK45" s="323">
        <f>INDEX('Volume adjustments'!$J$615:$Y$655,AK$17 + 1 + $H45*$H$50, AK$15)</f>
        <v>0</v>
      </c>
      <c r="AL45" s="323">
        <f>INDEX('Volume adjustments'!$J$615:$Y$655,AL$17 + 1 + $H45*$H$50, AL$15)</f>
        <v>0</v>
      </c>
      <c r="AM45" s="323">
        <f>INDEX('Volume adjustments'!$J$615:$Y$655,AM$17 + 1 + $H45*$H$50, AM$15)</f>
        <v>0</v>
      </c>
      <c r="AN45" s="323">
        <f>INDEX('Volume adjustments'!$J$615:$Y$655,AN$17 + 1 + $H45*$H$50, AN$15)</f>
        <v>165.84055989272863</v>
      </c>
      <c r="AO45" s="323">
        <f>INDEX('Volume adjustments'!$J$615:$Y$655,AO$17 + 1 + $H45*$H$50, AO$15)</f>
        <v>0</v>
      </c>
    </row>
    <row r="46" spans="5:43" x14ac:dyDescent="0.35">
      <c r="E46" s="23"/>
      <c r="F46" s="62" t="s">
        <v>249</v>
      </c>
      <c r="G46" s="62" t="s">
        <v>207</v>
      </c>
      <c r="H46" s="355">
        <v>2</v>
      </c>
      <c r="J46" s="323">
        <f>INDEX('Volume adjustments'!$J$615:$Y$655,J$17 + 1 + $H46*$H$50, J$15)</f>
        <v>55546.777639504362</v>
      </c>
      <c r="K46" s="323">
        <f>INDEX('Volume adjustments'!$J$615:$Y$655,K$17 + 1 + $H46*$H$50, K$15)</f>
        <v>584.25146271471135</v>
      </c>
      <c r="L46" s="323">
        <f>INDEX('Volume adjustments'!$J$615:$Y$655,L$17 + 1 + $H46*$H$50, L$15)</f>
        <v>1578.2983614029965</v>
      </c>
      <c r="M46" s="323">
        <f>INDEX('Volume adjustments'!$J$615:$Y$655,M$17 + 1 + $H46*$H$50, M$15)</f>
        <v>911.99929042964527</v>
      </c>
      <c r="N46" s="323">
        <f>INDEX('Volume adjustments'!$J$615:$Y$655,N$17 + 1 + $H46*$H$50, N$15)</f>
        <v>2022.5230392370736</v>
      </c>
      <c r="O46" s="323">
        <f>INDEX('Volume adjustments'!$J$615:$Y$655,O$17 + 1 + $H46*$H$50, O$15)</f>
        <v>1490.5153842233581</v>
      </c>
      <c r="P46" s="323">
        <f>INDEX('Volume adjustments'!$J$615:$Y$655,P$17 + 1 + $H46*$H$50, P$15)</f>
        <v>0</v>
      </c>
      <c r="Q46" s="323">
        <f>INDEX('Volume adjustments'!$J$615:$Y$655,Q$17 + 1 + $H46*$H$50, Q$15)</f>
        <v>85.551810528986309</v>
      </c>
      <c r="R46" s="323">
        <f>INDEX('Volume adjustments'!$J$615:$Y$655,R$17 + 1 + $H46*$H$50, R$15)</f>
        <v>0</v>
      </c>
      <c r="S46" s="323">
        <f>INDEX('Volume adjustments'!$J$615:$Y$655,S$17 + 1 + $H46*$H$50, S$15)</f>
        <v>6116.8697877032973</v>
      </c>
      <c r="T46" s="323">
        <f>INDEX('Volume adjustments'!$J$615:$Y$655,T$17 + 1 + $H46*$H$50, T$15)</f>
        <v>7874.2179173961067</v>
      </c>
      <c r="U46" s="323">
        <f>INDEX('Volume adjustments'!$J$615:$Y$655,U$17 + 1 + $H46*$H$50, U$15)</f>
        <v>5991.8772498196458</v>
      </c>
      <c r="V46" s="323">
        <f>INDEX('Volume adjustments'!$J$615:$Y$655,V$17 + 1 + $H46*$H$50, V$15)</f>
        <v>24209.994207652395</v>
      </c>
      <c r="W46" s="323">
        <f>INDEX('Volume adjustments'!$J$615:$Y$655,W$17 + 1 + $H46*$H$50, W$15)</f>
        <v>0</v>
      </c>
      <c r="X46" s="323">
        <f>INDEX('Volume adjustments'!$J$615:$Y$655,X$17 + 1 + $H46*$H$50, X$15)</f>
        <v>3318.7093916347462</v>
      </c>
      <c r="Y46" s="323">
        <f>INDEX('Volume adjustments'!$J$615:$Y$655,Y$17 + 1 + $H46*$H$50, Y$15)</f>
        <v>23.43552741911726</v>
      </c>
      <c r="Z46" s="323">
        <f>INDEX('Volume adjustments'!$J$615:$Y$655,Z$17 + 1 + $H46*$H$50, Z$15)</f>
        <v>118.54133156957938</v>
      </c>
      <c r="AA46" s="323">
        <f>INDEX('Volume adjustments'!$J$615:$Y$655,AA$17 + 1 + $H46*$H$50, AA$15)</f>
        <v>2134.5771980869972</v>
      </c>
      <c r="AB46" s="323">
        <f>INDEX('Volume adjustments'!$J$615:$Y$655,AB$17 + 1 + $H46*$H$50, AB$15)</f>
        <v>0</v>
      </c>
      <c r="AC46" s="323">
        <f>INDEX('Volume adjustments'!$J$615:$Y$655,AC$17 + 1 + $H46*$H$50, AC$15)</f>
        <v>1657.8847626627041</v>
      </c>
      <c r="AD46" s="323">
        <f>INDEX('Volume adjustments'!$J$615:$Y$655,AD$17 + 1 + $H46*$H$50, AD$15)</f>
        <v>3139.9956588488067</v>
      </c>
      <c r="AE46" s="323">
        <f>INDEX('Volume adjustments'!$J$615:$Y$655,AE$17 + 1 + $H46*$H$50, AE$15)</f>
        <v>454.82892207332833</v>
      </c>
      <c r="AF46" s="323">
        <f>INDEX('Volume adjustments'!$J$615:$Y$655,AF$17 + 1 + $H46*$H$50, AF$15)</f>
        <v>4137.1980079078066</v>
      </c>
      <c r="AG46" s="323">
        <f>INDEX('Volume adjustments'!$J$615:$Y$655,AG$17 + 1 + $H46*$H$50, AG$15)</f>
        <v>406.67899999999997</v>
      </c>
      <c r="AH46" s="323">
        <f>INDEX('Volume adjustments'!$J$615:$Y$655,AH$17 + 1 + $H46*$H$50, AH$15)</f>
        <v>0.28999999999999998</v>
      </c>
      <c r="AI46" s="323">
        <f>INDEX('Volume adjustments'!$J$615:$Y$655,AI$17 + 1 + $H46*$H$50, AI$15)</f>
        <v>0</v>
      </c>
      <c r="AJ46" s="323">
        <f>INDEX('Volume adjustments'!$J$615:$Y$655,AJ$17 + 1 + $H46*$H$50, AJ$15)</f>
        <v>2767.2356585674361</v>
      </c>
      <c r="AK46" s="323">
        <f>INDEX('Volume adjustments'!$J$615:$Y$655,AK$17 + 1 + $H46*$H$50, AK$15)</f>
        <v>0</v>
      </c>
      <c r="AL46" s="323">
        <f>INDEX('Volume adjustments'!$J$615:$Y$655,AL$17 + 1 + $H46*$H$50, AL$15)</f>
        <v>0</v>
      </c>
      <c r="AM46" s="323">
        <f>INDEX('Volume adjustments'!$J$615:$Y$655,AM$17 + 1 + $H46*$H$50, AM$15)</f>
        <v>0</v>
      </c>
      <c r="AN46" s="323">
        <f>INDEX('Volume adjustments'!$J$615:$Y$655,AN$17 + 1 + $H46*$H$50, AN$15)</f>
        <v>72.935642648769161</v>
      </c>
      <c r="AO46" s="323">
        <f>INDEX('Volume adjustments'!$J$615:$Y$655,AO$17 + 1 + $H46*$H$50, AO$15)</f>
        <v>0</v>
      </c>
    </row>
    <row r="47" spans="5:43" x14ac:dyDescent="0.35">
      <c r="E47" s="23"/>
      <c r="F47" s="62" t="s">
        <v>212</v>
      </c>
      <c r="G47" s="62" t="s">
        <v>212</v>
      </c>
      <c r="H47" s="355">
        <v>3</v>
      </c>
      <c r="J47" s="323">
        <f>INDEX('Volume adjustments'!$J$615:$Y$655,J$17 + 1 + $H47*$H$50, J$15)</f>
        <v>128781.76565790082</v>
      </c>
      <c r="K47" s="323">
        <f>INDEX('Volume adjustments'!$J$615:$Y$655,K$17 + 1 + $H47*$H$50, K$15)</f>
        <v>533.5</v>
      </c>
      <c r="L47" s="323">
        <f>INDEX('Volume adjustments'!$J$615:$Y$655,L$17 + 1 + $H47*$H$50, L$15)</f>
        <v>0</v>
      </c>
      <c r="M47" s="323">
        <f>INDEX('Volume adjustments'!$J$615:$Y$655,M$17 + 1 + $H47*$H$50, M$15)</f>
        <v>1478.6028145081389</v>
      </c>
      <c r="N47" s="323">
        <f>INDEX('Volume adjustments'!$J$615:$Y$655,N$17 + 1 + $H47*$H$50, N$15)</f>
        <v>562.97530003298323</v>
      </c>
      <c r="O47" s="323">
        <f>INDEX('Volume adjustments'!$J$615:$Y$655,O$17 + 1 + $H47*$H$50, O$15)</f>
        <v>832.4952805748494</v>
      </c>
      <c r="P47" s="323">
        <f>INDEX('Volume adjustments'!$J$615:$Y$655,P$17 + 1 + $H47*$H$50, P$15)</f>
        <v>230.11647461469292</v>
      </c>
      <c r="Q47" s="323">
        <f>INDEX('Volume adjustments'!$J$615:$Y$655,Q$17 + 1 + $H47*$H$50, Q$15)</f>
        <v>0</v>
      </c>
      <c r="R47" s="323">
        <f>INDEX('Volume adjustments'!$J$615:$Y$655,R$17 + 1 + $H47*$H$50, R$15)</f>
        <v>0</v>
      </c>
      <c r="S47" s="323">
        <f>INDEX('Volume adjustments'!$J$615:$Y$655,S$17 + 1 + $H47*$H$50, S$15)</f>
        <v>160.50739720917898</v>
      </c>
      <c r="T47" s="323">
        <f>INDEX('Volume adjustments'!$J$615:$Y$655,T$17 + 1 + $H47*$H$50, T$15)</f>
        <v>313.06218249675658</v>
      </c>
      <c r="U47" s="323">
        <f>INDEX('Volume adjustments'!$J$615:$Y$655,U$17 + 1 + $H47*$H$50, U$15)</f>
        <v>132.18256240755917</v>
      </c>
      <c r="V47" s="323">
        <f>INDEX('Volume adjustments'!$J$615:$Y$655,V$17 + 1 + $H47*$H$50, V$15)</f>
        <v>193.63764006555354</v>
      </c>
      <c r="W47" s="323">
        <f>INDEX('Volume adjustments'!$J$615:$Y$655,W$17 + 1 + $H47*$H$50, W$15)</f>
        <v>0</v>
      </c>
      <c r="X47" s="323">
        <f>INDEX('Volume adjustments'!$J$615:$Y$655,X$17 + 1 + $H47*$H$50, X$15)</f>
        <v>24.77710843373492</v>
      </c>
      <c r="Y47" s="323">
        <f>INDEX('Volume adjustments'!$J$615:$Y$655,Y$17 + 1 + $H47*$H$50, Y$15)</f>
        <v>1.5485692771084325</v>
      </c>
      <c r="Z47" s="323">
        <f>INDEX('Volume adjustments'!$J$615:$Y$655,Z$17 + 1 + $H47*$H$50, Z$15)</f>
        <v>4.6457078313252964</v>
      </c>
      <c r="AA47" s="323">
        <f>INDEX('Volume adjustments'!$J$615:$Y$655,AA$17 + 1 + $H47*$H$50, AA$15)</f>
        <v>35.367324135250705</v>
      </c>
      <c r="AB47" s="323">
        <f>INDEX('Volume adjustments'!$J$615:$Y$655,AB$17 + 1 + $H47*$H$50, AB$15)</f>
        <v>0</v>
      </c>
      <c r="AC47" s="323">
        <f>INDEX('Volume adjustments'!$J$615:$Y$655,AC$17 + 1 + $H47*$H$50, AC$15)</f>
        <v>6</v>
      </c>
      <c r="AD47" s="323">
        <f>INDEX('Volume adjustments'!$J$615:$Y$655,AD$17 + 1 + $H47*$H$50, AD$15)</f>
        <v>6</v>
      </c>
      <c r="AE47" s="323">
        <f>INDEX('Volume adjustments'!$J$615:$Y$655,AE$17 + 1 + $H47*$H$50, AE$15)</f>
        <v>2</v>
      </c>
      <c r="AF47" s="323">
        <f>INDEX('Volume adjustments'!$J$615:$Y$655,AF$17 + 1 + $H47*$H$50, AF$15)</f>
        <v>3</v>
      </c>
      <c r="AG47" s="323">
        <f>INDEX('Volume adjustments'!$J$615:$Y$655,AG$17 + 1 + $H47*$H$50, AG$15)</f>
        <v>266.64516129032251</v>
      </c>
      <c r="AH47" s="323">
        <f>INDEX('Volume adjustments'!$J$615:$Y$655,AH$17 + 1 + $H47*$H$50, AH$15)</f>
        <v>1</v>
      </c>
      <c r="AI47" s="323">
        <f>INDEX('Volume adjustments'!$J$615:$Y$655,AI$17 + 1 + $H47*$H$50, AI$15)</f>
        <v>1</v>
      </c>
      <c r="AJ47" s="323">
        <f>INDEX('Volume adjustments'!$J$615:$Y$655,AJ$17 + 1 + $H47*$H$50, AJ$15)</f>
        <v>0</v>
      </c>
      <c r="AK47" s="323">
        <f>INDEX('Volume adjustments'!$J$615:$Y$655,AK$17 + 1 + $H47*$H$50, AK$15)</f>
        <v>0</v>
      </c>
      <c r="AL47" s="323">
        <f>INDEX('Volume adjustments'!$J$615:$Y$655,AL$17 + 1 + $H47*$H$50, AL$15)</f>
        <v>0</v>
      </c>
      <c r="AM47" s="323">
        <f>INDEX('Volume adjustments'!$J$615:$Y$655,AM$17 + 1 + $H47*$H$50, AM$15)</f>
        <v>0</v>
      </c>
      <c r="AN47" s="323">
        <f>INDEX('Volume adjustments'!$J$615:$Y$655,AN$17 + 1 + $H47*$H$50, AN$15)</f>
        <v>0</v>
      </c>
      <c r="AO47" s="323">
        <f>INDEX('Volume adjustments'!$J$615:$Y$655,AO$17 + 1 + $H47*$H$50, AO$15)</f>
        <v>0</v>
      </c>
    </row>
    <row r="48" spans="5:43" x14ac:dyDescent="0.35">
      <c r="E48" s="23"/>
      <c r="F48" s="62" t="s">
        <v>250</v>
      </c>
      <c r="G48" s="62" t="s">
        <v>251</v>
      </c>
      <c r="H48" s="355">
        <v>4</v>
      </c>
      <c r="J48" s="323">
        <f>INDEX('Volume adjustments'!$J$615:$Y$655,J$17 + 1 + $H48*$H$50, J$15)</f>
        <v>0</v>
      </c>
      <c r="K48" s="323">
        <f>INDEX('Volume adjustments'!$J$615:$Y$655,K$17 + 1 + $H48*$H$50, K$15)</f>
        <v>0</v>
      </c>
      <c r="L48" s="323">
        <f>INDEX('Volume adjustments'!$J$615:$Y$655,L$17 + 1 + $H48*$H$50, L$15)</f>
        <v>0</v>
      </c>
      <c r="M48" s="323">
        <f>INDEX('Volume adjustments'!$J$615:$Y$655,M$17 + 1 + $H48*$H$50, M$15)</f>
        <v>0</v>
      </c>
      <c r="N48" s="323">
        <f>INDEX('Volume adjustments'!$J$615:$Y$655,N$17 + 1 + $H48*$H$50, N$15)</f>
        <v>0</v>
      </c>
      <c r="O48" s="323">
        <f>INDEX('Volume adjustments'!$J$615:$Y$655,O$17 + 1 + $H48*$H$50, O$15)</f>
        <v>0</v>
      </c>
      <c r="P48" s="323">
        <f>INDEX('Volume adjustments'!$J$615:$Y$655,P$17 + 1 + $H48*$H$50, P$15)</f>
        <v>0</v>
      </c>
      <c r="Q48" s="323">
        <f>INDEX('Volume adjustments'!$J$615:$Y$655,Q$17 + 1 + $H48*$H$50, Q$15)</f>
        <v>0</v>
      </c>
      <c r="R48" s="323">
        <f>INDEX('Volume adjustments'!$J$615:$Y$655,R$17 + 1 + $H48*$H$50, R$15)</f>
        <v>0</v>
      </c>
      <c r="S48" s="323">
        <f>INDEX('Volume adjustments'!$J$615:$Y$655,S$17 + 1 + $H48*$H$50, S$15)</f>
        <v>25508.492416213801</v>
      </c>
      <c r="T48" s="323">
        <f>INDEX('Volume adjustments'!$J$615:$Y$655,T$17 + 1 + $H48*$H$50, T$15)</f>
        <v>32836.96318553319</v>
      </c>
      <c r="U48" s="323">
        <f>INDEX('Volume adjustments'!$J$615:$Y$655,U$17 + 1 + $H48*$H$50, U$15)</f>
        <v>24987.250128026139</v>
      </c>
      <c r="V48" s="323">
        <f>INDEX('Volume adjustments'!$J$615:$Y$655,V$17 + 1 + $H48*$H$50, V$15)</f>
        <v>100960.20923707723</v>
      </c>
      <c r="W48" s="323">
        <f>INDEX('Volume adjustments'!$J$615:$Y$655,W$17 + 1 + $H48*$H$50, W$15)</f>
        <v>0</v>
      </c>
      <c r="X48" s="323">
        <f>INDEX('Volume adjustments'!$J$615:$Y$655,X$17 + 1 + $H48*$H$50, X$15)</f>
        <v>138.65302444102156</v>
      </c>
      <c r="Y48" s="323">
        <f>INDEX('Volume adjustments'!$J$615:$Y$655,Y$17 + 1 + $H48*$H$50, Y$15)</f>
        <v>1808.4433042380647</v>
      </c>
      <c r="Z48" s="323">
        <f>INDEX('Volume adjustments'!$J$615:$Y$655,Z$17 + 1 + $H48*$H$50, Z$15)</f>
        <v>2769.2575429809194</v>
      </c>
      <c r="AA48" s="323">
        <f>INDEX('Volume adjustments'!$J$615:$Y$655,AA$17 + 1 + $H48*$H$50, AA$15)</f>
        <v>34527.48874882191</v>
      </c>
      <c r="AB48" s="323">
        <f>INDEX('Volume adjustments'!$J$615:$Y$655,AB$17 + 1 + $H48*$H$50, AB$15)</f>
        <v>20.717105552650363</v>
      </c>
      <c r="AC48" s="323">
        <f>INDEX('Volume adjustments'!$J$615:$Y$655,AC$17 + 1 + $H48*$H$50, AC$15)</f>
        <v>1275.6485452551874</v>
      </c>
      <c r="AD48" s="323">
        <f>INDEX('Volume adjustments'!$J$615:$Y$655,AD$17 + 1 + $H48*$H$50, AD$15)</f>
        <v>4802.3736080679346</v>
      </c>
      <c r="AE48" s="323">
        <f>INDEX('Volume adjustments'!$J$615:$Y$655,AE$17 + 1 + $H48*$H$50, AE$15)</f>
        <v>3797.1051397956239</v>
      </c>
      <c r="AF48" s="323">
        <f>INDEX('Volume adjustments'!$J$615:$Y$655,AF$17 + 1 + $H48*$H$50, AF$15)</f>
        <v>10997.155601328604</v>
      </c>
      <c r="AG48" s="323">
        <f>INDEX('Volume adjustments'!$J$615:$Y$655,AG$17 + 1 + $H48*$H$50, AG$15)</f>
        <v>0</v>
      </c>
      <c r="AH48" s="323">
        <f>INDEX('Volume adjustments'!$J$615:$Y$655,AH$17 + 1 + $H48*$H$50, AH$15)</f>
        <v>0</v>
      </c>
      <c r="AI48" s="323">
        <f>INDEX('Volume adjustments'!$J$615:$Y$655,AI$17 + 1 + $H48*$H$50, AI$15)</f>
        <v>0</v>
      </c>
      <c r="AJ48" s="323">
        <f>INDEX('Volume adjustments'!$J$615:$Y$655,AJ$17 + 1 + $H48*$H$50, AJ$15)</f>
        <v>0</v>
      </c>
      <c r="AK48" s="323">
        <f>INDEX('Volume adjustments'!$J$615:$Y$655,AK$17 + 1 + $H48*$H$50, AK$15)</f>
        <v>0</v>
      </c>
      <c r="AL48" s="323">
        <f>INDEX('Volume adjustments'!$J$615:$Y$655,AL$17 + 1 + $H48*$H$50, AL$15)</f>
        <v>0</v>
      </c>
      <c r="AM48" s="323">
        <f>INDEX('Volume adjustments'!$J$615:$Y$655,AM$17 + 1 + $H48*$H$50, AM$15)</f>
        <v>0</v>
      </c>
      <c r="AN48" s="323">
        <f>INDEX('Volume adjustments'!$J$615:$Y$655,AN$17 + 1 + $H48*$H$50, AN$15)</f>
        <v>0</v>
      </c>
      <c r="AO48" s="323">
        <f>INDEX('Volume adjustments'!$J$615:$Y$655,AO$17 + 1 + $H48*$H$50, AO$15)</f>
        <v>0</v>
      </c>
    </row>
    <row r="49" spans="3:43" x14ac:dyDescent="0.35">
      <c r="E49" s="23"/>
      <c r="F49" s="62" t="s">
        <v>252</v>
      </c>
      <c r="G49" s="62" t="s">
        <v>251</v>
      </c>
      <c r="H49" s="355">
        <v>5</v>
      </c>
      <c r="J49" s="323">
        <f>INDEX('Volume adjustments'!$J$615:$Y$655,J$17 + 1 + $H49*$H$50, J$15)</f>
        <v>0</v>
      </c>
      <c r="K49" s="323">
        <f>INDEX('Volume adjustments'!$J$615:$Y$655,K$17 + 1 + $H49*$H$50, K$15)</f>
        <v>0</v>
      </c>
      <c r="L49" s="323">
        <f>INDEX('Volume adjustments'!$J$615:$Y$655,L$17 + 1 + $H49*$H$50, L$15)</f>
        <v>0</v>
      </c>
      <c r="M49" s="323">
        <f>INDEX('Volume adjustments'!$J$615:$Y$655,M$17 + 1 + $H49*$H$50, M$15)</f>
        <v>0</v>
      </c>
      <c r="N49" s="323">
        <f>INDEX('Volume adjustments'!$J$615:$Y$655,N$17 + 1 + $H49*$H$50, N$15)</f>
        <v>0</v>
      </c>
      <c r="O49" s="323">
        <f>INDEX('Volume adjustments'!$J$615:$Y$655,O$17 + 1 + $H49*$H$50, O$15)</f>
        <v>0</v>
      </c>
      <c r="P49" s="323">
        <f>INDEX('Volume adjustments'!$J$615:$Y$655,P$17 + 1 + $H49*$H$50, P$15)</f>
        <v>0</v>
      </c>
      <c r="Q49" s="323">
        <f>INDEX('Volume adjustments'!$J$615:$Y$655,Q$17 + 1 + $H49*$H$50, Q$15)</f>
        <v>0</v>
      </c>
      <c r="R49" s="323">
        <f>INDEX('Volume adjustments'!$J$615:$Y$655,R$17 + 1 + $H49*$H$50, R$15)</f>
        <v>0</v>
      </c>
      <c r="S49" s="323">
        <f>INDEX('Volume adjustments'!$J$615:$Y$655,S$17 + 1 + $H49*$H$50, S$15)</f>
        <v>44.142137349103145</v>
      </c>
      <c r="T49" s="323">
        <f>INDEX('Volume adjustments'!$J$615:$Y$655,T$17 + 1 + $H49*$H$50, T$15)</f>
        <v>56.823967305175486</v>
      </c>
      <c r="U49" s="323">
        <f>INDEX('Volume adjustments'!$J$615:$Y$655,U$17 + 1 + $H49*$H$50, U$15)</f>
        <v>43.24013387896801</v>
      </c>
      <c r="V49" s="323">
        <f>INDEX('Volume adjustments'!$J$615:$Y$655,V$17 + 1 + $H49*$H$50, V$15)</f>
        <v>174.71041997388036</v>
      </c>
      <c r="W49" s="323">
        <f>INDEX('Volume adjustments'!$J$615:$Y$655,W$17 + 1 + $H49*$H$50, W$15)</f>
        <v>0</v>
      </c>
      <c r="X49" s="323">
        <f>INDEX('Volume adjustments'!$J$615:$Y$655,X$17 + 1 + $H49*$H$50, X$15)</f>
        <v>0</v>
      </c>
      <c r="Y49" s="323">
        <f>INDEX('Volume adjustments'!$J$615:$Y$655,Y$17 + 1 + $H49*$H$50, Y$15)</f>
        <v>0</v>
      </c>
      <c r="Z49" s="323">
        <f>INDEX('Volume adjustments'!$J$615:$Y$655,Z$17 + 1 + $H49*$H$50, Z$15)</f>
        <v>0</v>
      </c>
      <c r="AA49" s="323">
        <f>INDEX('Volume adjustments'!$J$615:$Y$655,AA$17 + 1 + $H49*$H$50, AA$15)</f>
        <v>0</v>
      </c>
      <c r="AB49" s="323">
        <f>INDEX('Volume adjustments'!$J$615:$Y$655,AB$17 + 1 + $H49*$H$50, AB$15)</f>
        <v>0.47397580309993154</v>
      </c>
      <c r="AC49" s="323">
        <f>INDEX('Volume adjustments'!$J$615:$Y$655,AC$17 + 1 + $H49*$H$50, AC$15)</f>
        <v>29.184894683960149</v>
      </c>
      <c r="AD49" s="323">
        <f>INDEX('Volume adjustments'!$J$615:$Y$655,AD$17 + 1 + $H49*$H$50, AD$15)</f>
        <v>109.87098954944105</v>
      </c>
      <c r="AE49" s="323">
        <f>INDEX('Volume adjustments'!$J$615:$Y$655,AE$17 + 1 + $H49*$H$50, AE$15)</f>
        <v>86.871978979672974</v>
      </c>
      <c r="AF49" s="323">
        <f>INDEX('Volume adjustments'!$J$615:$Y$655,AF$17 + 1 + $H49*$H$50, AF$15)</f>
        <v>251.59816098382575</v>
      </c>
      <c r="AG49" s="323">
        <f>INDEX('Volume adjustments'!$J$615:$Y$655,AG$17 + 1 + $H49*$H$50, AG$15)</f>
        <v>0</v>
      </c>
      <c r="AH49" s="323">
        <f>INDEX('Volume adjustments'!$J$615:$Y$655,AH$17 + 1 + $H49*$H$50, AH$15)</f>
        <v>0</v>
      </c>
      <c r="AI49" s="323">
        <f>INDEX('Volume adjustments'!$J$615:$Y$655,AI$17 + 1 + $H49*$H$50, AI$15)</f>
        <v>0</v>
      </c>
      <c r="AJ49" s="323">
        <f>INDEX('Volume adjustments'!$J$615:$Y$655,AJ$17 + 1 + $H49*$H$50, AJ$15)</f>
        <v>0</v>
      </c>
      <c r="AK49" s="323">
        <f>INDEX('Volume adjustments'!$J$615:$Y$655,AK$17 + 1 + $H49*$H$50, AK$15)</f>
        <v>0</v>
      </c>
      <c r="AL49" s="323">
        <f>INDEX('Volume adjustments'!$J$615:$Y$655,AL$17 + 1 + $H49*$H$50, AL$15)</f>
        <v>0</v>
      </c>
      <c r="AM49" s="323">
        <f>INDEX('Volume adjustments'!$J$615:$Y$655,AM$17 + 1 + $H49*$H$50, AM$15)</f>
        <v>0</v>
      </c>
      <c r="AN49" s="323">
        <f>INDEX('Volume adjustments'!$J$615:$Y$655,AN$17 + 1 + $H49*$H$50, AN$15)</f>
        <v>0</v>
      </c>
      <c r="AO49" s="323">
        <f>INDEX('Volume adjustments'!$J$615:$Y$655,AO$17 + 1 + $H49*$H$50, AO$15)</f>
        <v>0</v>
      </c>
    </row>
    <row r="50" spans="3:43" x14ac:dyDescent="0.35">
      <c r="E50" s="23"/>
      <c r="F50" s="70" t="s">
        <v>253</v>
      </c>
      <c r="G50" s="70" t="s">
        <v>254</v>
      </c>
      <c r="H50" s="311">
        <v>6</v>
      </c>
      <c r="I50" s="28"/>
      <c r="J50" s="185">
        <f>INDEX('Volume adjustments'!$J$615:$Y$655,J$17 + 1 + $H50*$H$50, J$15)</f>
        <v>0</v>
      </c>
      <c r="K50" s="185">
        <f>INDEX('Volume adjustments'!$J$615:$Y$655,K$17 + 1 + $H50*$H$50, K$15)</f>
        <v>0</v>
      </c>
      <c r="L50" s="185">
        <f>INDEX('Volume adjustments'!$J$615:$Y$655,L$17 + 1 + $H50*$H$50, L$15)</f>
        <v>0</v>
      </c>
      <c r="M50" s="185">
        <f>INDEX('Volume adjustments'!$J$615:$Y$655,M$17 + 1 + $H50*$H$50, M$15)</f>
        <v>0</v>
      </c>
      <c r="N50" s="185">
        <f>INDEX('Volume adjustments'!$J$615:$Y$655,N$17 + 1 + $H50*$H$50, N$15)</f>
        <v>0</v>
      </c>
      <c r="O50" s="185">
        <f>INDEX('Volume adjustments'!$J$615:$Y$655,O$17 + 1 + $H50*$H$50, O$15)</f>
        <v>0</v>
      </c>
      <c r="P50" s="185">
        <f>INDEX('Volume adjustments'!$J$615:$Y$655,P$17 + 1 + $H50*$H$50, P$15)</f>
        <v>0</v>
      </c>
      <c r="Q50" s="185">
        <f>INDEX('Volume adjustments'!$J$615:$Y$655,Q$17 + 1 + $H50*$H$50, Q$15)</f>
        <v>0</v>
      </c>
      <c r="R50" s="185">
        <f>INDEX('Volume adjustments'!$J$615:$Y$655,R$17 + 1 + $H50*$H$50, R$15)</f>
        <v>0</v>
      </c>
      <c r="S50" s="185">
        <f>INDEX('Volume adjustments'!$J$615:$Y$655,S$17 + 1 + $H50*$H$50, S$15)</f>
        <v>2035.2073343001964</v>
      </c>
      <c r="T50" s="185">
        <f>INDEX('Volume adjustments'!$J$615:$Y$655,T$17 + 1 + $H50*$H$50, T$15)</f>
        <v>2619.9128988455604</v>
      </c>
      <c r="U50" s="185">
        <f>INDEX('Volume adjustments'!$J$615:$Y$655,U$17 + 1 + $H50*$H$50, U$15)</f>
        <v>1993.619767675026</v>
      </c>
      <c r="V50" s="185">
        <f>INDEX('Volume adjustments'!$J$615:$Y$655,V$17 + 1 + $H50*$H$50, V$15)</f>
        <v>8055.158845105926</v>
      </c>
      <c r="W50" s="185">
        <f>INDEX('Volume adjustments'!$J$615:$Y$655,W$17 + 1 + $H50*$H$50, W$15)</f>
        <v>0</v>
      </c>
      <c r="X50" s="185">
        <f>INDEX('Volume adjustments'!$J$615:$Y$655,X$17 + 1 + $H50*$H$50, X$15)</f>
        <v>1570.8731092170815</v>
      </c>
      <c r="Y50" s="185">
        <f>INDEX('Volume adjustments'!$J$615:$Y$655,Y$17 + 1 + $H50*$H$50, Y$15)</f>
        <v>11.092938693519278</v>
      </c>
      <c r="Z50" s="185">
        <f>INDEX('Volume adjustments'!$J$615:$Y$655,Z$17 + 1 + $H50*$H$50, Z$15)</f>
        <v>56.11018263991842</v>
      </c>
      <c r="AA50" s="185">
        <f>INDEX('Volume adjustments'!$J$615:$Y$655,AA$17 + 1 + $H50*$H$50, AA$15)</f>
        <v>1010.3776873247392</v>
      </c>
      <c r="AB50" s="185">
        <f>INDEX('Volume adjustments'!$J$615:$Y$655,AB$17 + 1 + $H50*$H$50, AB$15)</f>
        <v>0</v>
      </c>
      <c r="AC50" s="185">
        <f>INDEX('Volume adjustments'!$J$615:$Y$655,AC$17 + 1 + $H50*$H$50, AC$15)</f>
        <v>85.790146563597943</v>
      </c>
      <c r="AD50" s="185">
        <f>INDEX('Volume adjustments'!$J$615:$Y$655,AD$17 + 1 + $H50*$H$50, AD$15)</f>
        <v>162.48456699068279</v>
      </c>
      <c r="AE50" s="185">
        <f>INDEX('Volume adjustments'!$J$615:$Y$655,AE$17 + 1 + $H50*$H$50, AE$15)</f>
        <v>23.535918035319249</v>
      </c>
      <c r="AF50" s="185">
        <f>INDEX('Volume adjustments'!$J$615:$Y$655,AF$17 + 1 + $H50*$H$50, AF$15)</f>
        <v>214.086546576969</v>
      </c>
      <c r="AG50" s="185">
        <f>INDEX('Volume adjustments'!$J$615:$Y$655,AG$17 + 1 + $H50*$H$50, AG$15)</f>
        <v>0</v>
      </c>
      <c r="AH50" s="185">
        <f>INDEX('Volume adjustments'!$J$615:$Y$655,AH$17 + 1 + $H50*$H$50, AH$15)</f>
        <v>0</v>
      </c>
      <c r="AI50" s="185">
        <f>INDEX('Volume adjustments'!$J$615:$Y$655,AI$17 + 1 + $H50*$H$50, AI$15)</f>
        <v>0</v>
      </c>
      <c r="AJ50" s="185">
        <f>INDEX('Volume adjustments'!$J$615:$Y$655,AJ$17 + 1 + $H50*$H$50, AJ$15)</f>
        <v>0</v>
      </c>
      <c r="AK50" s="185">
        <f>INDEX('Volume adjustments'!$J$615:$Y$655,AK$17 + 1 + $H50*$H$50, AK$15)</f>
        <v>0</v>
      </c>
      <c r="AL50" s="185">
        <f>INDEX('Volume adjustments'!$J$615:$Y$655,AL$17 + 1 + $H50*$H$50, AL$15)</f>
        <v>0</v>
      </c>
      <c r="AM50" s="185">
        <f>INDEX('Volume adjustments'!$J$615:$Y$655,AM$17 + 1 + $H50*$H$50, AM$15)</f>
        <v>0</v>
      </c>
      <c r="AN50" s="185">
        <f>INDEX('Volume adjustments'!$J$615:$Y$655,AN$17 + 1 + $H50*$H$50, AN$15)</f>
        <v>0</v>
      </c>
      <c r="AO50" s="185">
        <f>INDEX('Volume adjustments'!$J$615:$Y$655,AO$17 + 1 + $H50*$H$50, AO$15)</f>
        <v>0</v>
      </c>
    </row>
    <row r="51" spans="3:43" x14ac:dyDescent="0.35">
      <c r="E51" s="23"/>
      <c r="G51" s="12"/>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row>
    <row r="52" spans="3:43" x14ac:dyDescent="0.35">
      <c r="C52" s="26" t="str">
        <f ca="1">INDEX('Version control'!$H$38:$H$61,MATCH($A$1,'Version control'!$F$38:$F$61,0),1)&amp;"-B: Tariff forecast"</f>
        <v>Section 118-B: Tariff forecast</v>
      </c>
      <c r="D52" s="26"/>
      <c r="E52" s="26"/>
      <c r="F52" s="26"/>
      <c r="G52" s="26"/>
      <c r="H52" s="26"/>
      <c r="I52" s="26"/>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26"/>
      <c r="AQ52" s="26"/>
    </row>
    <row r="53" spans="3:43" x14ac:dyDescent="0.35">
      <c r="D53" s="27"/>
      <c r="E53" s="23"/>
      <c r="G53" s="12"/>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row>
    <row r="54" spans="3:43" x14ac:dyDescent="0.35">
      <c r="E54" s="27" t="s">
        <v>758</v>
      </c>
      <c r="G54" s="12"/>
      <c r="I54" t="s">
        <v>154</v>
      </c>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Q54" t="s">
        <v>155</v>
      </c>
    </row>
    <row r="55" spans="3:43" x14ac:dyDescent="0.35">
      <c r="F55" s="19" t="s">
        <v>156</v>
      </c>
      <c r="G55" s="75" t="s">
        <v>269</v>
      </c>
      <c r="H55" s="267"/>
      <c r="I55" s="255"/>
      <c r="J55" s="267">
        <f>Rounding!J150</f>
        <v>9.3170000000000002</v>
      </c>
      <c r="K55" s="267">
        <f>Rounding!K150</f>
        <v>9.3170000000000002</v>
      </c>
      <c r="L55" s="267">
        <f>Rounding!L150</f>
        <v>8.7149999999999999</v>
      </c>
      <c r="M55" s="267">
        <f>Rounding!M150</f>
        <v>8.7149999999999999</v>
      </c>
      <c r="N55" s="267">
        <f>Rounding!N150</f>
        <v>8.7149999999999999</v>
      </c>
      <c r="O55" s="267">
        <f>Rounding!O150</f>
        <v>8.7149999999999999</v>
      </c>
      <c r="P55" s="267">
        <f>Rounding!P150</f>
        <v>8.7149999999999999</v>
      </c>
      <c r="Q55" s="267">
        <f>Rounding!Q150</f>
        <v>8.7149999999999999</v>
      </c>
      <c r="R55" s="267">
        <f>Rounding!R150</f>
        <v>6.8090000000000002</v>
      </c>
      <c r="S55" s="267">
        <f>Rounding!S150</f>
        <v>6.8090000000000002</v>
      </c>
      <c r="T55" s="267">
        <f>Rounding!T150</f>
        <v>6.8090000000000002</v>
      </c>
      <c r="U55" s="267">
        <f>Rounding!U150</f>
        <v>6.8090000000000002</v>
      </c>
      <c r="V55" s="267">
        <f>Rounding!V150</f>
        <v>6.8090000000000002</v>
      </c>
      <c r="W55" s="267">
        <f>Rounding!W150</f>
        <v>4.5449999999999999</v>
      </c>
      <c r="X55" s="267">
        <f>Rounding!X150</f>
        <v>4.5449999999999999</v>
      </c>
      <c r="Y55" s="267">
        <f>Rounding!Y150</f>
        <v>4.5449999999999999</v>
      </c>
      <c r="Z55" s="267">
        <f>Rounding!Z150</f>
        <v>4.5449999999999999</v>
      </c>
      <c r="AA55" s="267">
        <f>Rounding!AA150</f>
        <v>4.5449999999999999</v>
      </c>
      <c r="AB55" s="267">
        <f>Rounding!AB150</f>
        <v>3.6110000000000002</v>
      </c>
      <c r="AC55" s="267">
        <f>Rounding!AC150</f>
        <v>3.6110000000000002</v>
      </c>
      <c r="AD55" s="267">
        <f>Rounding!AD150</f>
        <v>3.6110000000000002</v>
      </c>
      <c r="AE55" s="267">
        <f>Rounding!AE150</f>
        <v>3.6110000000000002</v>
      </c>
      <c r="AF55" s="267">
        <f>Rounding!AF150</f>
        <v>3.6110000000000002</v>
      </c>
      <c r="AG55" s="267">
        <f>Rounding!AG150</f>
        <v>27.384</v>
      </c>
      <c r="AH55" s="267">
        <f>Rounding!AH150</f>
        <v>-6.4669999999999996</v>
      </c>
      <c r="AI55" s="267">
        <f>Rounding!AI150</f>
        <v>-5.7430000000000003</v>
      </c>
      <c r="AJ55" s="267">
        <f>Rounding!AJ150</f>
        <v>-6.4669999999999996</v>
      </c>
      <c r="AK55" s="267">
        <f>Rounding!AK150</f>
        <v>-6.4669999999999996</v>
      </c>
      <c r="AL55" s="267">
        <f>Rounding!AL150</f>
        <v>-5.7430000000000003</v>
      </c>
      <c r="AM55" s="267">
        <f>Rounding!AM150</f>
        <v>-5.7430000000000003</v>
      </c>
      <c r="AN55" s="267">
        <f>Rounding!AN150</f>
        <v>-4.4080000000000004</v>
      </c>
      <c r="AO55" s="267">
        <f>Rounding!AO150</f>
        <v>-4.4080000000000004</v>
      </c>
      <c r="AP55" s="256"/>
      <c r="AQ55" s="256"/>
    </row>
    <row r="56" spans="3:43" x14ac:dyDescent="0.35">
      <c r="E56" s="23"/>
      <c r="F56" t="s">
        <v>157</v>
      </c>
      <c r="G56" s="12" t="s">
        <v>269</v>
      </c>
      <c r="H56" s="268"/>
      <c r="I56" s="256"/>
      <c r="J56" s="268">
        <f>Rounding!J151</f>
        <v>1.1839999999999999</v>
      </c>
      <c r="K56" s="268">
        <f>Rounding!K151</f>
        <v>1.1839999999999999</v>
      </c>
      <c r="L56" s="268">
        <f>Rounding!L151</f>
        <v>1.1080000000000001</v>
      </c>
      <c r="M56" s="268">
        <f>Rounding!M151</f>
        <v>1.1080000000000001</v>
      </c>
      <c r="N56" s="268">
        <f>Rounding!N151</f>
        <v>1.1080000000000001</v>
      </c>
      <c r="O56" s="268">
        <f>Rounding!O151</f>
        <v>1.1080000000000001</v>
      </c>
      <c r="P56" s="268">
        <f>Rounding!P151</f>
        <v>1.1080000000000001</v>
      </c>
      <c r="Q56" s="268">
        <f>Rounding!Q151</f>
        <v>1.1080000000000001</v>
      </c>
      <c r="R56" s="268">
        <f>Rounding!R151</f>
        <v>0.745</v>
      </c>
      <c r="S56" s="268">
        <f>Rounding!S151</f>
        <v>0.745</v>
      </c>
      <c r="T56" s="268">
        <f>Rounding!T151</f>
        <v>0.745</v>
      </c>
      <c r="U56" s="268">
        <f>Rounding!U151</f>
        <v>0.745</v>
      </c>
      <c r="V56" s="268">
        <f>Rounding!V151</f>
        <v>0.745</v>
      </c>
      <c r="W56" s="268">
        <f>Rounding!W151</f>
        <v>0.34</v>
      </c>
      <c r="X56" s="268">
        <f>Rounding!X151</f>
        <v>0.34</v>
      </c>
      <c r="Y56" s="268">
        <f>Rounding!Y151</f>
        <v>0.34</v>
      </c>
      <c r="Z56" s="268">
        <f>Rounding!Z151</f>
        <v>0.34</v>
      </c>
      <c r="AA56" s="268">
        <f>Rounding!AA151</f>
        <v>0.34</v>
      </c>
      <c r="AB56" s="268">
        <f>Rounding!AB151</f>
        <v>0.24</v>
      </c>
      <c r="AC56" s="268">
        <f>Rounding!AC151</f>
        <v>0.24</v>
      </c>
      <c r="AD56" s="268">
        <f>Rounding!AD151</f>
        <v>0.24</v>
      </c>
      <c r="AE56" s="268">
        <f>Rounding!AE151</f>
        <v>0.24</v>
      </c>
      <c r="AF56" s="268">
        <f>Rounding!AF151</f>
        <v>0.24</v>
      </c>
      <c r="AG56" s="268">
        <f>Rounding!AG151</f>
        <v>6.21</v>
      </c>
      <c r="AH56" s="268">
        <f>Rounding!AH151</f>
        <v>-0.82199999999999995</v>
      </c>
      <c r="AI56" s="268">
        <f>Rounding!AI151</f>
        <v>-0.66700000000000004</v>
      </c>
      <c r="AJ56" s="268">
        <f>Rounding!AJ151</f>
        <v>-0.82199999999999995</v>
      </c>
      <c r="AK56" s="268">
        <f>Rounding!AK151</f>
        <v>-0.82199999999999995</v>
      </c>
      <c r="AL56" s="268">
        <f>Rounding!AL151</f>
        <v>-0.66700000000000004</v>
      </c>
      <c r="AM56" s="268">
        <f>Rounding!AM151</f>
        <v>-0.66700000000000004</v>
      </c>
      <c r="AN56" s="268">
        <f>Rounding!AN151</f>
        <v>-0.32900000000000001</v>
      </c>
      <c r="AO56" s="268">
        <f>Rounding!AO151</f>
        <v>-0.32900000000000001</v>
      </c>
      <c r="AP56" s="256"/>
      <c r="AQ56" s="256"/>
    </row>
    <row r="57" spans="3:43" x14ac:dyDescent="0.35">
      <c r="E57" s="23"/>
      <c r="F57" t="s">
        <v>158</v>
      </c>
      <c r="G57" s="12" t="s">
        <v>269</v>
      </c>
      <c r="H57" s="268"/>
      <c r="I57" s="256"/>
      <c r="J57" s="268">
        <f>Rounding!J152</f>
        <v>5.7000000000000002E-2</v>
      </c>
      <c r="K57" s="268">
        <f>Rounding!K152</f>
        <v>5.7000000000000002E-2</v>
      </c>
      <c r="L57" s="268">
        <f>Rounding!L152</f>
        <v>5.2999999999999999E-2</v>
      </c>
      <c r="M57" s="268">
        <f>Rounding!M152</f>
        <v>5.2999999999999999E-2</v>
      </c>
      <c r="N57" s="268">
        <f>Rounding!N152</f>
        <v>5.2999999999999999E-2</v>
      </c>
      <c r="O57" s="268">
        <f>Rounding!O152</f>
        <v>5.2999999999999999E-2</v>
      </c>
      <c r="P57" s="268">
        <f>Rounding!P152</f>
        <v>5.2999999999999999E-2</v>
      </c>
      <c r="Q57" s="268">
        <f>Rounding!Q152</f>
        <v>5.2999999999999999E-2</v>
      </c>
      <c r="R57" s="268">
        <f>Rounding!R152</f>
        <v>3.5000000000000003E-2</v>
      </c>
      <c r="S57" s="268">
        <f>Rounding!S152</f>
        <v>3.5000000000000003E-2</v>
      </c>
      <c r="T57" s="268">
        <f>Rounding!T152</f>
        <v>3.5000000000000003E-2</v>
      </c>
      <c r="U57" s="268">
        <f>Rounding!U152</f>
        <v>3.5000000000000003E-2</v>
      </c>
      <c r="V57" s="268">
        <f>Rounding!V152</f>
        <v>3.5000000000000003E-2</v>
      </c>
      <c r="W57" s="268">
        <f>Rounding!W152</f>
        <v>1.4999999999999999E-2</v>
      </c>
      <c r="X57" s="268">
        <f>Rounding!X152</f>
        <v>1.4999999999999999E-2</v>
      </c>
      <c r="Y57" s="268">
        <f>Rounding!Y152</f>
        <v>1.4999999999999999E-2</v>
      </c>
      <c r="Z57" s="268">
        <f>Rounding!Z152</f>
        <v>1.4999999999999999E-2</v>
      </c>
      <c r="AA57" s="268">
        <f>Rounding!AA152</f>
        <v>1.4999999999999999E-2</v>
      </c>
      <c r="AB57" s="268">
        <f>Rounding!AB152</f>
        <v>1.0999999999999999E-2</v>
      </c>
      <c r="AC57" s="268">
        <f>Rounding!AC152</f>
        <v>1.0999999999999999E-2</v>
      </c>
      <c r="AD57" s="268">
        <f>Rounding!AD152</f>
        <v>1.0999999999999999E-2</v>
      </c>
      <c r="AE57" s="268">
        <f>Rounding!AE152</f>
        <v>1.0999999999999999E-2</v>
      </c>
      <c r="AF57" s="268">
        <f>Rounding!AF152</f>
        <v>1.0999999999999999E-2</v>
      </c>
      <c r="AG57" s="268">
        <f>Rounding!AG152</f>
        <v>5.1589999999999998</v>
      </c>
      <c r="AH57" s="268">
        <f>Rounding!AH152</f>
        <v>-0.04</v>
      </c>
      <c r="AI57" s="268">
        <f>Rounding!AI152</f>
        <v>-3.2000000000000001E-2</v>
      </c>
      <c r="AJ57" s="268">
        <f>Rounding!AJ152</f>
        <v>-0.04</v>
      </c>
      <c r="AK57" s="268">
        <f>Rounding!AK152</f>
        <v>-0.04</v>
      </c>
      <c r="AL57" s="268">
        <f>Rounding!AL152</f>
        <v>-3.2000000000000001E-2</v>
      </c>
      <c r="AM57" s="268">
        <f>Rounding!AM152</f>
        <v>-3.2000000000000001E-2</v>
      </c>
      <c r="AN57" s="268">
        <f>Rounding!AN152</f>
        <v>-1.4999999999999999E-2</v>
      </c>
      <c r="AO57" s="268">
        <f>Rounding!AO152</f>
        <v>-1.4999999999999999E-2</v>
      </c>
      <c r="AP57" s="256"/>
      <c r="AQ57" s="256"/>
    </row>
    <row r="58" spans="3:43" x14ac:dyDescent="0.35">
      <c r="E58" s="23"/>
      <c r="F58" t="s">
        <v>159</v>
      </c>
      <c r="G58" s="12" t="s">
        <v>270</v>
      </c>
      <c r="H58" s="41"/>
      <c r="J58" s="110">
        <f>Rounding!J153</f>
        <v>25.96</v>
      </c>
      <c r="K58" s="110">
        <f>Rounding!K153</f>
        <v>0</v>
      </c>
      <c r="L58" s="110">
        <f>Rounding!L153</f>
        <v>10.1</v>
      </c>
      <c r="M58" s="110">
        <f>Rounding!M153</f>
        <v>28.26</v>
      </c>
      <c r="N58" s="110">
        <f>Rounding!N153</f>
        <v>59.82</v>
      </c>
      <c r="O58" s="110">
        <f>Rounding!O153</f>
        <v>120.2</v>
      </c>
      <c r="P58" s="110">
        <f>Rounding!P153</f>
        <v>319.72000000000003</v>
      </c>
      <c r="Q58" s="110">
        <f>Rounding!Q153</f>
        <v>0</v>
      </c>
      <c r="R58" s="110">
        <f>Rounding!R153</f>
        <v>23.33</v>
      </c>
      <c r="S58" s="110">
        <f>Rounding!S153</f>
        <v>577.41</v>
      </c>
      <c r="T58" s="110">
        <f>Rounding!T153</f>
        <v>952.97</v>
      </c>
      <c r="U58" s="110">
        <f>Rounding!U153</f>
        <v>1594.83</v>
      </c>
      <c r="V58" s="110">
        <f>Rounding!V153</f>
        <v>4001.3</v>
      </c>
      <c r="W58" s="110">
        <f>Rounding!W153</f>
        <v>59.03</v>
      </c>
      <c r="X58" s="110">
        <f>Rounding!X153</f>
        <v>613.11</v>
      </c>
      <c r="Y58" s="110">
        <f>Rounding!Y153</f>
        <v>988.67</v>
      </c>
      <c r="Z58" s="110">
        <f>Rounding!Z153</f>
        <v>1630.53</v>
      </c>
      <c r="AA58" s="110">
        <f>Rounding!AA153</f>
        <v>4037</v>
      </c>
      <c r="AB58" s="110">
        <f>Rounding!AB153</f>
        <v>209.66</v>
      </c>
      <c r="AC58" s="110">
        <f>Rounding!AC153</f>
        <v>3340.4</v>
      </c>
      <c r="AD58" s="110">
        <f>Rounding!AD153</f>
        <v>8321.93</v>
      </c>
      <c r="AE58" s="110">
        <f>Rounding!AE153</f>
        <v>16100.24</v>
      </c>
      <c r="AF58" s="110">
        <f>Rounding!AF153</f>
        <v>41095.97</v>
      </c>
      <c r="AG58" s="110">
        <f>Rounding!AG153</f>
        <v>0</v>
      </c>
      <c r="AH58" s="110">
        <f>Rounding!AH153</f>
        <v>0</v>
      </c>
      <c r="AI58" s="110">
        <f>Rounding!AI153</f>
        <v>0</v>
      </c>
      <c r="AJ58" s="110">
        <f>Rounding!AJ153</f>
        <v>0</v>
      </c>
      <c r="AK58" s="110">
        <f>Rounding!AK153</f>
        <v>0</v>
      </c>
      <c r="AL58" s="110">
        <f>Rounding!AL153</f>
        <v>0</v>
      </c>
      <c r="AM58" s="110">
        <f>Rounding!AM153</f>
        <v>0</v>
      </c>
      <c r="AN58" s="110">
        <f>Rounding!AN153</f>
        <v>416.38</v>
      </c>
      <c r="AO58" s="110">
        <f>Rounding!AO153</f>
        <v>416.38</v>
      </c>
    </row>
    <row r="59" spans="3:43" x14ac:dyDescent="0.35">
      <c r="E59" s="23"/>
      <c r="F59" t="s">
        <v>160</v>
      </c>
      <c r="G59" s="12" t="s">
        <v>271</v>
      </c>
      <c r="H59" s="41"/>
      <c r="J59" s="110">
        <f>Rounding!J154</f>
        <v>0</v>
      </c>
      <c r="K59" s="110">
        <f>Rounding!K154</f>
        <v>0</v>
      </c>
      <c r="L59" s="110">
        <f>Rounding!L154</f>
        <v>0</v>
      </c>
      <c r="M59" s="110">
        <f>Rounding!M154</f>
        <v>0</v>
      </c>
      <c r="N59" s="110">
        <f>Rounding!N154</f>
        <v>0</v>
      </c>
      <c r="O59" s="110">
        <f>Rounding!O154</f>
        <v>0</v>
      </c>
      <c r="P59" s="110">
        <f>Rounding!P154</f>
        <v>0</v>
      </c>
      <c r="Q59" s="110">
        <f>Rounding!Q154</f>
        <v>0</v>
      </c>
      <c r="R59" s="110">
        <f>Rounding!R154</f>
        <v>4.0999999999999996</v>
      </c>
      <c r="S59" s="110">
        <f>Rounding!S154</f>
        <v>4.0999999999999996</v>
      </c>
      <c r="T59" s="110">
        <f>Rounding!T154</f>
        <v>4.0999999999999996</v>
      </c>
      <c r="U59" s="110">
        <f>Rounding!U154</f>
        <v>4.0999999999999996</v>
      </c>
      <c r="V59" s="110">
        <f>Rounding!V154</f>
        <v>4.0999999999999996</v>
      </c>
      <c r="W59" s="110">
        <f>Rounding!W154</f>
        <v>5.51</v>
      </c>
      <c r="X59" s="110">
        <f>Rounding!X154</f>
        <v>5.51</v>
      </c>
      <c r="Y59" s="110">
        <f>Rounding!Y154</f>
        <v>5.51</v>
      </c>
      <c r="Z59" s="110">
        <f>Rounding!Z154</f>
        <v>5.51</v>
      </c>
      <c r="AA59" s="110">
        <f>Rounding!AA154</f>
        <v>5.51</v>
      </c>
      <c r="AB59" s="110">
        <f>Rounding!AB154</f>
        <v>6.49</v>
      </c>
      <c r="AC59" s="110">
        <f>Rounding!AC154</f>
        <v>6.49</v>
      </c>
      <c r="AD59" s="110">
        <f>Rounding!AD154</f>
        <v>6.49</v>
      </c>
      <c r="AE59" s="110">
        <f>Rounding!AE154</f>
        <v>6.49</v>
      </c>
      <c r="AF59" s="110">
        <f>Rounding!AF154</f>
        <v>6.49</v>
      </c>
      <c r="AG59" s="110">
        <f>Rounding!AG154</f>
        <v>0</v>
      </c>
      <c r="AH59" s="110">
        <f>Rounding!AH154</f>
        <v>0</v>
      </c>
      <c r="AI59" s="110">
        <f>Rounding!AI154</f>
        <v>0</v>
      </c>
      <c r="AJ59" s="110">
        <f>Rounding!AJ154</f>
        <v>0</v>
      </c>
      <c r="AK59" s="110">
        <f>Rounding!AK154</f>
        <v>0</v>
      </c>
      <c r="AL59" s="110">
        <f>Rounding!AL154</f>
        <v>0</v>
      </c>
      <c r="AM59" s="110">
        <f>Rounding!AM154</f>
        <v>0</v>
      </c>
      <c r="AN59" s="110">
        <f>Rounding!AN154</f>
        <v>0</v>
      </c>
      <c r="AO59" s="110">
        <f>Rounding!AO154</f>
        <v>0</v>
      </c>
    </row>
    <row r="60" spans="3:43" x14ac:dyDescent="0.35">
      <c r="E60" s="23"/>
      <c r="F60" t="s">
        <v>161</v>
      </c>
      <c r="G60" s="12" t="s">
        <v>271</v>
      </c>
      <c r="H60" s="41"/>
      <c r="J60" s="110">
        <f>Rounding!J155</f>
        <v>0</v>
      </c>
      <c r="K60" s="110">
        <f>Rounding!K155</f>
        <v>0</v>
      </c>
      <c r="L60" s="110">
        <f>Rounding!L155</f>
        <v>0</v>
      </c>
      <c r="M60" s="110">
        <f>Rounding!M155</f>
        <v>0</v>
      </c>
      <c r="N60" s="110">
        <f>Rounding!N155</f>
        <v>0</v>
      </c>
      <c r="O60" s="110">
        <f>Rounding!O155</f>
        <v>0</v>
      </c>
      <c r="P60" s="110">
        <f>Rounding!P155</f>
        <v>0</v>
      </c>
      <c r="Q60" s="110">
        <f>Rounding!Q155</f>
        <v>0</v>
      </c>
      <c r="R60" s="110">
        <f>Rounding!R155</f>
        <v>7.17</v>
      </c>
      <c r="S60" s="110">
        <f>Rounding!S155</f>
        <v>7.17</v>
      </c>
      <c r="T60" s="110">
        <f>Rounding!T155</f>
        <v>7.17</v>
      </c>
      <c r="U60" s="110">
        <f>Rounding!U155</f>
        <v>7.17</v>
      </c>
      <c r="V60" s="110">
        <f>Rounding!V155</f>
        <v>7.17</v>
      </c>
      <c r="W60" s="110">
        <f>Rounding!W155</f>
        <v>7.06</v>
      </c>
      <c r="X60" s="110">
        <f>Rounding!X155</f>
        <v>7.06</v>
      </c>
      <c r="Y60" s="110">
        <f>Rounding!Y155</f>
        <v>7.06</v>
      </c>
      <c r="Z60" s="110">
        <f>Rounding!Z155</f>
        <v>7.06</v>
      </c>
      <c r="AA60" s="110">
        <f>Rounding!AA155</f>
        <v>7.06</v>
      </c>
      <c r="AB60" s="110">
        <f>Rounding!AB155</f>
        <v>7.75</v>
      </c>
      <c r="AC60" s="110">
        <f>Rounding!AC155</f>
        <v>7.75</v>
      </c>
      <c r="AD60" s="110">
        <f>Rounding!AD155</f>
        <v>7.75</v>
      </c>
      <c r="AE60" s="110">
        <f>Rounding!AE155</f>
        <v>7.75</v>
      </c>
      <c r="AF60" s="110">
        <f>Rounding!AF155</f>
        <v>7.75</v>
      </c>
      <c r="AG60" s="110">
        <f>Rounding!AG155</f>
        <v>0</v>
      </c>
      <c r="AH60" s="110">
        <f>Rounding!AH155</f>
        <v>0</v>
      </c>
      <c r="AI60" s="110">
        <f>Rounding!AI155</f>
        <v>0</v>
      </c>
      <c r="AJ60" s="110">
        <f>Rounding!AJ155</f>
        <v>0</v>
      </c>
      <c r="AK60" s="110">
        <f>Rounding!AK155</f>
        <v>0</v>
      </c>
      <c r="AL60" s="110">
        <f>Rounding!AL155</f>
        <v>0</v>
      </c>
      <c r="AM60" s="110">
        <f>Rounding!AM155</f>
        <v>0</v>
      </c>
      <c r="AN60" s="110">
        <f>Rounding!AN155</f>
        <v>0</v>
      </c>
      <c r="AO60" s="110">
        <f>Rounding!AO155</f>
        <v>0</v>
      </c>
    </row>
    <row r="61" spans="3:43" x14ac:dyDescent="0.35">
      <c r="E61" s="23"/>
      <c r="F61" s="28" t="s">
        <v>162</v>
      </c>
      <c r="G61" s="76" t="s">
        <v>272</v>
      </c>
      <c r="H61" s="272"/>
      <c r="I61" s="258"/>
      <c r="J61" s="272">
        <f>Rounding!J156</f>
        <v>0</v>
      </c>
      <c r="K61" s="272">
        <f>Rounding!K156</f>
        <v>0</v>
      </c>
      <c r="L61" s="272">
        <f>Rounding!L156</f>
        <v>0</v>
      </c>
      <c r="M61" s="272">
        <f>Rounding!M156</f>
        <v>0</v>
      </c>
      <c r="N61" s="272">
        <f>Rounding!N156</f>
        <v>0</v>
      </c>
      <c r="O61" s="272">
        <f>Rounding!O156</f>
        <v>0</v>
      </c>
      <c r="P61" s="272">
        <f>Rounding!P156</f>
        <v>0</v>
      </c>
      <c r="Q61" s="272">
        <f>Rounding!Q156</f>
        <v>0</v>
      </c>
      <c r="R61" s="272">
        <f>Rounding!R156</f>
        <v>0.245</v>
      </c>
      <c r="S61" s="272">
        <f>Rounding!S156</f>
        <v>0.245</v>
      </c>
      <c r="T61" s="272">
        <f>Rounding!T156</f>
        <v>0.245</v>
      </c>
      <c r="U61" s="272">
        <f>Rounding!U156</f>
        <v>0.245</v>
      </c>
      <c r="V61" s="272">
        <f>Rounding!V156</f>
        <v>0.245</v>
      </c>
      <c r="W61" s="272">
        <f>Rounding!W156</f>
        <v>0.13700000000000001</v>
      </c>
      <c r="X61" s="272">
        <f>Rounding!X156</f>
        <v>0.13700000000000001</v>
      </c>
      <c r="Y61" s="272">
        <f>Rounding!Y156</f>
        <v>0.13700000000000001</v>
      </c>
      <c r="Z61" s="272">
        <f>Rounding!Z156</f>
        <v>0.13700000000000001</v>
      </c>
      <c r="AA61" s="272">
        <f>Rounding!AA156</f>
        <v>0.13700000000000001</v>
      </c>
      <c r="AB61" s="272">
        <f>Rounding!AB156</f>
        <v>0.104</v>
      </c>
      <c r="AC61" s="272">
        <f>Rounding!AC156</f>
        <v>0.104</v>
      </c>
      <c r="AD61" s="272">
        <f>Rounding!AD156</f>
        <v>0.104</v>
      </c>
      <c r="AE61" s="272">
        <f>Rounding!AE156</f>
        <v>0.104</v>
      </c>
      <c r="AF61" s="272">
        <f>Rounding!AF156</f>
        <v>0.104</v>
      </c>
      <c r="AG61" s="272">
        <f>Rounding!AG156</f>
        <v>0</v>
      </c>
      <c r="AH61" s="272">
        <f>Rounding!AH156</f>
        <v>0</v>
      </c>
      <c r="AI61" s="272">
        <f>Rounding!AI156</f>
        <v>0</v>
      </c>
      <c r="AJ61" s="272">
        <f>Rounding!AJ156</f>
        <v>0.254</v>
      </c>
      <c r="AK61" s="272">
        <f>Rounding!AK156</f>
        <v>0</v>
      </c>
      <c r="AL61" s="272">
        <f>Rounding!AL156</f>
        <v>0.21</v>
      </c>
      <c r="AM61" s="272">
        <f>Rounding!AM156</f>
        <v>0</v>
      </c>
      <c r="AN61" s="272">
        <f>Rounding!AN156</f>
        <v>0.182</v>
      </c>
      <c r="AO61" s="272">
        <f>Rounding!AO156</f>
        <v>0</v>
      </c>
      <c r="AP61" s="256"/>
      <c r="AQ61" s="256"/>
    </row>
    <row r="62" spans="3:43" x14ac:dyDescent="0.35">
      <c r="E62" s="23"/>
      <c r="G62" s="12"/>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row>
    <row r="63" spans="3:43" x14ac:dyDescent="0.35">
      <c r="E63" s="27" t="s">
        <v>759</v>
      </c>
      <c r="G63" s="12"/>
      <c r="I63" t="s">
        <v>154</v>
      </c>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Q63" t="s">
        <v>155</v>
      </c>
    </row>
    <row r="64" spans="3:43" x14ac:dyDescent="0.35">
      <c r="F64" s="19" t="s">
        <v>156</v>
      </c>
      <c r="G64" s="75" t="s">
        <v>269</v>
      </c>
      <c r="H64" s="267"/>
      <c r="I64" s="255"/>
      <c r="J64" s="267">
        <f>Rounding!J159</f>
        <v>5.8609999999999998</v>
      </c>
      <c r="K64" s="267">
        <f>Rounding!K159</f>
        <v>5.8609999999999998</v>
      </c>
      <c r="L64" s="267">
        <f>Rounding!L159</f>
        <v>5.4820000000000002</v>
      </c>
      <c r="M64" s="267">
        <f>Rounding!M159</f>
        <v>5.4820000000000002</v>
      </c>
      <c r="N64" s="267">
        <f>Rounding!N159</f>
        <v>5.4820000000000002</v>
      </c>
      <c r="O64" s="267">
        <f>Rounding!O159</f>
        <v>5.4820000000000002</v>
      </c>
      <c r="P64" s="267">
        <f>Rounding!P159</f>
        <v>5.4820000000000002</v>
      </c>
      <c r="Q64" s="267">
        <f>Rounding!Q159</f>
        <v>5.4820000000000002</v>
      </c>
      <c r="R64" s="267">
        <f>Rounding!R159</f>
        <v>4.2830000000000004</v>
      </c>
      <c r="S64" s="267">
        <f>Rounding!S159</f>
        <v>4.2830000000000004</v>
      </c>
      <c r="T64" s="267">
        <f>Rounding!T159</f>
        <v>4.2830000000000004</v>
      </c>
      <c r="U64" s="267">
        <f>Rounding!U159</f>
        <v>4.2830000000000004</v>
      </c>
      <c r="V64" s="267">
        <f>Rounding!V159</f>
        <v>4.2830000000000004</v>
      </c>
      <c r="W64" s="267">
        <f>Rounding!W159</f>
        <v>0</v>
      </c>
      <c r="X64" s="267">
        <f>Rounding!X159</f>
        <v>0</v>
      </c>
      <c r="Y64" s="267">
        <f>Rounding!Y159</f>
        <v>0</v>
      </c>
      <c r="Z64" s="267">
        <f>Rounding!Z159</f>
        <v>0</v>
      </c>
      <c r="AA64" s="267">
        <f>Rounding!AA159</f>
        <v>0</v>
      </c>
      <c r="AB64" s="267">
        <f>Rounding!AB159</f>
        <v>0</v>
      </c>
      <c r="AC64" s="267">
        <f>Rounding!AC159</f>
        <v>0</v>
      </c>
      <c r="AD64" s="267">
        <f>Rounding!AD159</f>
        <v>0</v>
      </c>
      <c r="AE64" s="267">
        <f>Rounding!AE159</f>
        <v>0</v>
      </c>
      <c r="AF64" s="267">
        <f>Rounding!AF159</f>
        <v>0</v>
      </c>
      <c r="AG64" s="267">
        <f>Rounding!AG159</f>
        <v>17.225000000000001</v>
      </c>
      <c r="AH64" s="267">
        <f>Rounding!AH159</f>
        <v>-6.4669999999999996</v>
      </c>
      <c r="AI64" s="267">
        <f>Rounding!AI159</f>
        <v>0</v>
      </c>
      <c r="AJ64" s="267">
        <f>Rounding!AJ159</f>
        <v>-6.4669999999999996</v>
      </c>
      <c r="AK64" s="267">
        <f>Rounding!AK159</f>
        <v>0</v>
      </c>
      <c r="AL64" s="267">
        <f>Rounding!AL159</f>
        <v>0</v>
      </c>
      <c r="AM64" s="267">
        <f>Rounding!AM159</f>
        <v>0</v>
      </c>
      <c r="AN64" s="267">
        <f>Rounding!AN159</f>
        <v>0</v>
      </c>
      <c r="AO64" s="267">
        <f>Rounding!AO159</f>
        <v>0</v>
      </c>
      <c r="AP64" s="256"/>
      <c r="AQ64" s="256"/>
    </row>
    <row r="65" spans="3:43" x14ac:dyDescent="0.35">
      <c r="E65" s="23"/>
      <c r="F65" t="s">
        <v>157</v>
      </c>
      <c r="G65" s="12" t="s">
        <v>269</v>
      </c>
      <c r="H65" s="268"/>
      <c r="I65" s="256"/>
      <c r="J65" s="268">
        <f>Rounding!J160</f>
        <v>0.745</v>
      </c>
      <c r="K65" s="268">
        <f>Rounding!K160</f>
        <v>0.745</v>
      </c>
      <c r="L65" s="268">
        <f>Rounding!L160</f>
        <v>0.69699999999999995</v>
      </c>
      <c r="M65" s="268">
        <f>Rounding!M160</f>
        <v>0.69699999999999995</v>
      </c>
      <c r="N65" s="268">
        <f>Rounding!N160</f>
        <v>0.69699999999999995</v>
      </c>
      <c r="O65" s="268">
        <f>Rounding!O160</f>
        <v>0.69699999999999995</v>
      </c>
      <c r="P65" s="268">
        <f>Rounding!P160</f>
        <v>0.69699999999999995</v>
      </c>
      <c r="Q65" s="268">
        <f>Rounding!Q160</f>
        <v>0.69699999999999995</v>
      </c>
      <c r="R65" s="268">
        <f>Rounding!R160</f>
        <v>0.46899999999999997</v>
      </c>
      <c r="S65" s="268">
        <f>Rounding!S160</f>
        <v>0.46899999999999997</v>
      </c>
      <c r="T65" s="268">
        <f>Rounding!T160</f>
        <v>0.46899999999999997</v>
      </c>
      <c r="U65" s="268">
        <f>Rounding!U160</f>
        <v>0.46899999999999997</v>
      </c>
      <c r="V65" s="268">
        <f>Rounding!V160</f>
        <v>0.46899999999999997</v>
      </c>
      <c r="W65" s="268">
        <f>Rounding!W160</f>
        <v>0</v>
      </c>
      <c r="X65" s="268">
        <f>Rounding!X160</f>
        <v>0</v>
      </c>
      <c r="Y65" s="268">
        <f>Rounding!Y160</f>
        <v>0</v>
      </c>
      <c r="Z65" s="268">
        <f>Rounding!Z160</f>
        <v>0</v>
      </c>
      <c r="AA65" s="268">
        <f>Rounding!AA160</f>
        <v>0</v>
      </c>
      <c r="AB65" s="268">
        <f>Rounding!AB160</f>
        <v>0</v>
      </c>
      <c r="AC65" s="268">
        <f>Rounding!AC160</f>
        <v>0</v>
      </c>
      <c r="AD65" s="268">
        <f>Rounding!AD160</f>
        <v>0</v>
      </c>
      <c r="AE65" s="268">
        <f>Rounding!AE160</f>
        <v>0</v>
      </c>
      <c r="AF65" s="268">
        <f>Rounding!AF160</f>
        <v>0</v>
      </c>
      <c r="AG65" s="268">
        <f>Rounding!AG160</f>
        <v>3.9060000000000001</v>
      </c>
      <c r="AH65" s="268">
        <f>Rounding!AH160</f>
        <v>-0.82199999999999995</v>
      </c>
      <c r="AI65" s="268">
        <f>Rounding!AI160</f>
        <v>0</v>
      </c>
      <c r="AJ65" s="268">
        <f>Rounding!AJ160</f>
        <v>-0.82199999999999995</v>
      </c>
      <c r="AK65" s="268">
        <f>Rounding!AK160</f>
        <v>0</v>
      </c>
      <c r="AL65" s="268">
        <f>Rounding!AL160</f>
        <v>0</v>
      </c>
      <c r="AM65" s="268">
        <f>Rounding!AM160</f>
        <v>0</v>
      </c>
      <c r="AN65" s="268">
        <f>Rounding!AN160</f>
        <v>0</v>
      </c>
      <c r="AO65" s="268">
        <f>Rounding!AO160</f>
        <v>0</v>
      </c>
      <c r="AP65" s="256"/>
      <c r="AQ65" s="256"/>
    </row>
    <row r="66" spans="3:43" x14ac:dyDescent="0.35">
      <c r="E66" s="23"/>
      <c r="F66" t="s">
        <v>158</v>
      </c>
      <c r="G66" s="12" t="s">
        <v>269</v>
      </c>
      <c r="H66" s="268"/>
      <c r="I66" s="256"/>
      <c r="J66" s="268">
        <f>Rounding!J161</f>
        <v>3.5999999999999997E-2</v>
      </c>
      <c r="K66" s="268">
        <f>Rounding!K161</f>
        <v>3.5999999999999997E-2</v>
      </c>
      <c r="L66" s="268">
        <f>Rounding!L161</f>
        <v>3.4000000000000002E-2</v>
      </c>
      <c r="M66" s="268">
        <f>Rounding!M161</f>
        <v>3.4000000000000002E-2</v>
      </c>
      <c r="N66" s="268">
        <f>Rounding!N161</f>
        <v>3.4000000000000002E-2</v>
      </c>
      <c r="O66" s="268">
        <f>Rounding!O161</f>
        <v>3.4000000000000002E-2</v>
      </c>
      <c r="P66" s="268">
        <f>Rounding!P161</f>
        <v>3.4000000000000002E-2</v>
      </c>
      <c r="Q66" s="268">
        <f>Rounding!Q161</f>
        <v>3.4000000000000002E-2</v>
      </c>
      <c r="R66" s="268">
        <f>Rounding!R161</f>
        <v>2.1999999999999999E-2</v>
      </c>
      <c r="S66" s="268">
        <f>Rounding!S161</f>
        <v>2.1999999999999999E-2</v>
      </c>
      <c r="T66" s="268">
        <f>Rounding!T161</f>
        <v>2.1999999999999999E-2</v>
      </c>
      <c r="U66" s="268">
        <f>Rounding!U161</f>
        <v>2.1999999999999999E-2</v>
      </c>
      <c r="V66" s="268">
        <f>Rounding!V161</f>
        <v>2.1999999999999999E-2</v>
      </c>
      <c r="W66" s="268">
        <f>Rounding!W161</f>
        <v>0</v>
      </c>
      <c r="X66" s="268">
        <f>Rounding!X161</f>
        <v>0</v>
      </c>
      <c r="Y66" s="268">
        <f>Rounding!Y161</f>
        <v>0</v>
      </c>
      <c r="Z66" s="268">
        <f>Rounding!Z161</f>
        <v>0</v>
      </c>
      <c r="AA66" s="268">
        <f>Rounding!AA161</f>
        <v>0</v>
      </c>
      <c r="AB66" s="268">
        <f>Rounding!AB161</f>
        <v>0</v>
      </c>
      <c r="AC66" s="268">
        <f>Rounding!AC161</f>
        <v>0</v>
      </c>
      <c r="AD66" s="268">
        <f>Rounding!AD161</f>
        <v>0</v>
      </c>
      <c r="AE66" s="268">
        <f>Rounding!AE161</f>
        <v>0</v>
      </c>
      <c r="AF66" s="268">
        <f>Rounding!AF161</f>
        <v>0</v>
      </c>
      <c r="AG66" s="268">
        <f>Rounding!AG161</f>
        <v>3.2450000000000001</v>
      </c>
      <c r="AH66" s="268">
        <f>Rounding!AH161</f>
        <v>-0.04</v>
      </c>
      <c r="AI66" s="268">
        <f>Rounding!AI161</f>
        <v>0</v>
      </c>
      <c r="AJ66" s="268">
        <f>Rounding!AJ161</f>
        <v>-0.04</v>
      </c>
      <c r="AK66" s="268">
        <f>Rounding!AK161</f>
        <v>0</v>
      </c>
      <c r="AL66" s="268">
        <f>Rounding!AL161</f>
        <v>0</v>
      </c>
      <c r="AM66" s="268">
        <f>Rounding!AM161</f>
        <v>0</v>
      </c>
      <c r="AN66" s="268">
        <f>Rounding!AN161</f>
        <v>0</v>
      </c>
      <c r="AO66" s="268">
        <f>Rounding!AO161</f>
        <v>0</v>
      </c>
      <c r="AP66" s="256"/>
      <c r="AQ66" s="256"/>
    </row>
    <row r="67" spans="3:43" x14ac:dyDescent="0.35">
      <c r="E67" s="23"/>
      <c r="F67" t="s">
        <v>159</v>
      </c>
      <c r="G67" s="12" t="s">
        <v>270</v>
      </c>
      <c r="H67" s="41"/>
      <c r="J67" s="110">
        <f>Rounding!J162</f>
        <v>16.61</v>
      </c>
      <c r="K67" s="110">
        <f>Rounding!K162</f>
        <v>0</v>
      </c>
      <c r="L67" s="110">
        <f>Rounding!L162</f>
        <v>6.55</v>
      </c>
      <c r="M67" s="110">
        <f>Rounding!M162</f>
        <v>17.97</v>
      </c>
      <c r="N67" s="110">
        <f>Rounding!N162</f>
        <v>37.82</v>
      </c>
      <c r="O67" s="110">
        <f>Rounding!O162</f>
        <v>75.8</v>
      </c>
      <c r="P67" s="110">
        <f>Rounding!P162</f>
        <v>201.31</v>
      </c>
      <c r="Q67" s="110">
        <f>Rounding!Q162</f>
        <v>0</v>
      </c>
      <c r="R67" s="110">
        <f>Rounding!R162</f>
        <v>14.87</v>
      </c>
      <c r="S67" s="110">
        <f>Rounding!S162</f>
        <v>363.4</v>
      </c>
      <c r="T67" s="110">
        <f>Rounding!T162</f>
        <v>599.64</v>
      </c>
      <c r="U67" s="110">
        <f>Rounding!U162</f>
        <v>1003.38</v>
      </c>
      <c r="V67" s="110">
        <f>Rounding!V162</f>
        <v>2517.12</v>
      </c>
      <c r="W67" s="110">
        <f>Rounding!W162</f>
        <v>0</v>
      </c>
      <c r="X67" s="110">
        <f>Rounding!X162</f>
        <v>0</v>
      </c>
      <c r="Y67" s="110">
        <f>Rounding!Y162</f>
        <v>0</v>
      </c>
      <c r="Z67" s="110">
        <f>Rounding!Z162</f>
        <v>0</v>
      </c>
      <c r="AA67" s="110">
        <f>Rounding!AA162</f>
        <v>0</v>
      </c>
      <c r="AB67" s="110">
        <f>Rounding!AB162</f>
        <v>0</v>
      </c>
      <c r="AC67" s="110">
        <f>Rounding!AC162</f>
        <v>0</v>
      </c>
      <c r="AD67" s="110">
        <f>Rounding!AD162</f>
        <v>0</v>
      </c>
      <c r="AE67" s="110">
        <f>Rounding!AE162</f>
        <v>0</v>
      </c>
      <c r="AF67" s="110">
        <f>Rounding!AF162</f>
        <v>0</v>
      </c>
      <c r="AG67" s="110">
        <f>Rounding!AG162</f>
        <v>0</v>
      </c>
      <c r="AH67" s="110">
        <f>Rounding!AH162</f>
        <v>0</v>
      </c>
      <c r="AI67" s="110">
        <f>Rounding!AI162</f>
        <v>0</v>
      </c>
      <c r="AJ67" s="110">
        <f>Rounding!AJ162</f>
        <v>0</v>
      </c>
      <c r="AK67" s="110">
        <f>Rounding!AK162</f>
        <v>0</v>
      </c>
      <c r="AL67" s="110">
        <f>Rounding!AL162</f>
        <v>0</v>
      </c>
      <c r="AM67" s="110">
        <f>Rounding!AM162</f>
        <v>0</v>
      </c>
      <c r="AN67" s="110">
        <f>Rounding!AN162</f>
        <v>0</v>
      </c>
      <c r="AO67" s="110">
        <f>Rounding!AO162</f>
        <v>0</v>
      </c>
    </row>
    <row r="68" spans="3:43" x14ac:dyDescent="0.35">
      <c r="E68" s="23"/>
      <c r="F68" t="s">
        <v>160</v>
      </c>
      <c r="G68" s="12" t="s">
        <v>271</v>
      </c>
      <c r="H68" s="41"/>
      <c r="J68" s="110">
        <f>Rounding!J163</f>
        <v>0</v>
      </c>
      <c r="K68" s="110">
        <f>Rounding!K163</f>
        <v>0</v>
      </c>
      <c r="L68" s="110">
        <f>Rounding!L163</f>
        <v>0</v>
      </c>
      <c r="M68" s="110">
        <f>Rounding!M163</f>
        <v>0</v>
      </c>
      <c r="N68" s="110">
        <f>Rounding!N163</f>
        <v>0</v>
      </c>
      <c r="O68" s="110">
        <f>Rounding!O163</f>
        <v>0</v>
      </c>
      <c r="P68" s="110">
        <f>Rounding!P163</f>
        <v>0</v>
      </c>
      <c r="Q68" s="110">
        <f>Rounding!Q163</f>
        <v>0</v>
      </c>
      <c r="R68" s="110">
        <f>Rounding!R163</f>
        <v>2.58</v>
      </c>
      <c r="S68" s="110">
        <f>Rounding!S163</f>
        <v>2.58</v>
      </c>
      <c r="T68" s="110">
        <f>Rounding!T163</f>
        <v>2.58</v>
      </c>
      <c r="U68" s="110">
        <f>Rounding!U163</f>
        <v>2.58</v>
      </c>
      <c r="V68" s="110">
        <f>Rounding!V163</f>
        <v>2.58</v>
      </c>
      <c r="W68" s="110">
        <f>Rounding!W163</f>
        <v>0</v>
      </c>
      <c r="X68" s="110">
        <f>Rounding!X163</f>
        <v>0</v>
      </c>
      <c r="Y68" s="110">
        <f>Rounding!Y163</f>
        <v>0</v>
      </c>
      <c r="Z68" s="110">
        <f>Rounding!Z163</f>
        <v>0</v>
      </c>
      <c r="AA68" s="110">
        <f>Rounding!AA163</f>
        <v>0</v>
      </c>
      <c r="AB68" s="110">
        <f>Rounding!AB163</f>
        <v>0</v>
      </c>
      <c r="AC68" s="110">
        <f>Rounding!AC163</f>
        <v>0</v>
      </c>
      <c r="AD68" s="110">
        <f>Rounding!AD163</f>
        <v>0</v>
      </c>
      <c r="AE68" s="110">
        <f>Rounding!AE163</f>
        <v>0</v>
      </c>
      <c r="AF68" s="110">
        <f>Rounding!AF163</f>
        <v>0</v>
      </c>
      <c r="AG68" s="110">
        <f>Rounding!AG163</f>
        <v>0</v>
      </c>
      <c r="AH68" s="110">
        <f>Rounding!AH163</f>
        <v>0</v>
      </c>
      <c r="AI68" s="110">
        <f>Rounding!AI163</f>
        <v>0</v>
      </c>
      <c r="AJ68" s="110">
        <f>Rounding!AJ163</f>
        <v>0</v>
      </c>
      <c r="AK68" s="110">
        <f>Rounding!AK163</f>
        <v>0</v>
      </c>
      <c r="AL68" s="110">
        <f>Rounding!AL163</f>
        <v>0</v>
      </c>
      <c r="AM68" s="110">
        <f>Rounding!AM163</f>
        <v>0</v>
      </c>
      <c r="AN68" s="110">
        <f>Rounding!AN163</f>
        <v>0</v>
      </c>
      <c r="AO68" s="110">
        <f>Rounding!AO163</f>
        <v>0</v>
      </c>
    </row>
    <row r="69" spans="3:43" x14ac:dyDescent="0.35">
      <c r="E69" s="23"/>
      <c r="F69" t="s">
        <v>161</v>
      </c>
      <c r="G69" s="12" t="s">
        <v>271</v>
      </c>
      <c r="H69" s="41"/>
      <c r="J69" s="110">
        <f>Rounding!J164</f>
        <v>0</v>
      </c>
      <c r="K69" s="110">
        <f>Rounding!K164</f>
        <v>0</v>
      </c>
      <c r="L69" s="110">
        <f>Rounding!L164</f>
        <v>0</v>
      </c>
      <c r="M69" s="110">
        <f>Rounding!M164</f>
        <v>0</v>
      </c>
      <c r="N69" s="110">
        <f>Rounding!N164</f>
        <v>0</v>
      </c>
      <c r="O69" s="110">
        <f>Rounding!O164</f>
        <v>0</v>
      </c>
      <c r="P69" s="110">
        <f>Rounding!P164</f>
        <v>0</v>
      </c>
      <c r="Q69" s="110">
        <f>Rounding!Q164</f>
        <v>0</v>
      </c>
      <c r="R69" s="110">
        <f>Rounding!R164</f>
        <v>4.51</v>
      </c>
      <c r="S69" s="110">
        <f>Rounding!S164</f>
        <v>4.51</v>
      </c>
      <c r="T69" s="110">
        <f>Rounding!T164</f>
        <v>4.51</v>
      </c>
      <c r="U69" s="110">
        <f>Rounding!U164</f>
        <v>4.51</v>
      </c>
      <c r="V69" s="110">
        <f>Rounding!V164</f>
        <v>4.51</v>
      </c>
      <c r="W69" s="110">
        <f>Rounding!W164</f>
        <v>0</v>
      </c>
      <c r="X69" s="110">
        <f>Rounding!X164</f>
        <v>0</v>
      </c>
      <c r="Y69" s="110">
        <f>Rounding!Y164</f>
        <v>0</v>
      </c>
      <c r="Z69" s="110">
        <f>Rounding!Z164</f>
        <v>0</v>
      </c>
      <c r="AA69" s="110">
        <f>Rounding!AA164</f>
        <v>0</v>
      </c>
      <c r="AB69" s="110">
        <f>Rounding!AB164</f>
        <v>0</v>
      </c>
      <c r="AC69" s="110">
        <f>Rounding!AC164</f>
        <v>0</v>
      </c>
      <c r="AD69" s="110">
        <f>Rounding!AD164</f>
        <v>0</v>
      </c>
      <c r="AE69" s="110">
        <f>Rounding!AE164</f>
        <v>0</v>
      </c>
      <c r="AF69" s="110">
        <f>Rounding!AF164</f>
        <v>0</v>
      </c>
      <c r="AG69" s="110">
        <f>Rounding!AG164</f>
        <v>0</v>
      </c>
      <c r="AH69" s="110">
        <f>Rounding!AH164</f>
        <v>0</v>
      </c>
      <c r="AI69" s="110">
        <f>Rounding!AI164</f>
        <v>0</v>
      </c>
      <c r="AJ69" s="110">
        <f>Rounding!AJ164</f>
        <v>0</v>
      </c>
      <c r="AK69" s="110">
        <f>Rounding!AK164</f>
        <v>0</v>
      </c>
      <c r="AL69" s="110">
        <f>Rounding!AL164</f>
        <v>0</v>
      </c>
      <c r="AM69" s="110">
        <f>Rounding!AM164</f>
        <v>0</v>
      </c>
      <c r="AN69" s="110">
        <f>Rounding!AN164</f>
        <v>0</v>
      </c>
      <c r="AO69" s="110">
        <f>Rounding!AO164</f>
        <v>0</v>
      </c>
    </row>
    <row r="70" spans="3:43" x14ac:dyDescent="0.35">
      <c r="E70" s="23"/>
      <c r="F70" s="28" t="s">
        <v>162</v>
      </c>
      <c r="G70" s="76" t="s">
        <v>272</v>
      </c>
      <c r="H70" s="272"/>
      <c r="I70" s="258"/>
      <c r="J70" s="272">
        <f>Rounding!J165</f>
        <v>0</v>
      </c>
      <c r="K70" s="272">
        <f>Rounding!K165</f>
        <v>0</v>
      </c>
      <c r="L70" s="272">
        <f>Rounding!L165</f>
        <v>0</v>
      </c>
      <c r="M70" s="272">
        <f>Rounding!M165</f>
        <v>0</v>
      </c>
      <c r="N70" s="272">
        <f>Rounding!N165</f>
        <v>0</v>
      </c>
      <c r="O70" s="272">
        <f>Rounding!O165</f>
        <v>0</v>
      </c>
      <c r="P70" s="272">
        <f>Rounding!P165</f>
        <v>0</v>
      </c>
      <c r="Q70" s="272">
        <f>Rounding!Q165</f>
        <v>0</v>
      </c>
      <c r="R70" s="272">
        <f>Rounding!R165</f>
        <v>0.154</v>
      </c>
      <c r="S70" s="272">
        <f>Rounding!S165</f>
        <v>0.154</v>
      </c>
      <c r="T70" s="272">
        <f>Rounding!T165</f>
        <v>0.154</v>
      </c>
      <c r="U70" s="272">
        <f>Rounding!U165</f>
        <v>0.154</v>
      </c>
      <c r="V70" s="272">
        <f>Rounding!V165</f>
        <v>0.154</v>
      </c>
      <c r="W70" s="272">
        <f>Rounding!W165</f>
        <v>0</v>
      </c>
      <c r="X70" s="272">
        <f>Rounding!X165</f>
        <v>0</v>
      </c>
      <c r="Y70" s="272">
        <f>Rounding!Y165</f>
        <v>0</v>
      </c>
      <c r="Z70" s="272">
        <f>Rounding!Z165</f>
        <v>0</v>
      </c>
      <c r="AA70" s="272">
        <f>Rounding!AA165</f>
        <v>0</v>
      </c>
      <c r="AB70" s="272">
        <f>Rounding!AB165</f>
        <v>0</v>
      </c>
      <c r="AC70" s="272">
        <f>Rounding!AC165</f>
        <v>0</v>
      </c>
      <c r="AD70" s="272">
        <f>Rounding!AD165</f>
        <v>0</v>
      </c>
      <c r="AE70" s="272">
        <f>Rounding!AE165</f>
        <v>0</v>
      </c>
      <c r="AF70" s="272">
        <f>Rounding!AF165</f>
        <v>0</v>
      </c>
      <c r="AG70" s="272">
        <f>Rounding!AG165</f>
        <v>0</v>
      </c>
      <c r="AH70" s="272">
        <f>Rounding!AH165</f>
        <v>0</v>
      </c>
      <c r="AI70" s="272">
        <f>Rounding!AI165</f>
        <v>0</v>
      </c>
      <c r="AJ70" s="272">
        <f>Rounding!AJ165</f>
        <v>0.254</v>
      </c>
      <c r="AK70" s="272">
        <f>Rounding!AK165</f>
        <v>0</v>
      </c>
      <c r="AL70" s="272">
        <f>Rounding!AL165</f>
        <v>0</v>
      </c>
      <c r="AM70" s="272">
        <f>Rounding!AM165</f>
        <v>0</v>
      </c>
      <c r="AN70" s="272">
        <f>Rounding!AN165</f>
        <v>0</v>
      </c>
      <c r="AO70" s="272">
        <f>Rounding!AO165</f>
        <v>0</v>
      </c>
      <c r="AP70" s="256"/>
      <c r="AQ70" s="256"/>
    </row>
    <row r="71" spans="3:43" x14ac:dyDescent="0.35">
      <c r="E71" s="23"/>
      <c r="G71" s="12"/>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row>
    <row r="72" spans="3:43" x14ac:dyDescent="0.35">
      <c r="E72" s="27" t="s">
        <v>760</v>
      </c>
      <c r="G72" s="12"/>
      <c r="I72" t="s">
        <v>154</v>
      </c>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Q72" t="s">
        <v>155</v>
      </c>
    </row>
    <row r="73" spans="3:43" x14ac:dyDescent="0.35">
      <c r="C73" s="78"/>
      <c r="F73" s="19" t="s">
        <v>156</v>
      </c>
      <c r="G73" s="75" t="s">
        <v>269</v>
      </c>
      <c r="H73" s="267"/>
      <c r="I73" s="255"/>
      <c r="J73" s="267">
        <f>Rounding!J168</f>
        <v>4.2370000000000001</v>
      </c>
      <c r="K73" s="267">
        <f>Rounding!K168</f>
        <v>4.2370000000000001</v>
      </c>
      <c r="L73" s="267">
        <f>Rounding!L168</f>
        <v>3.9630000000000001</v>
      </c>
      <c r="M73" s="267">
        <f>Rounding!M168</f>
        <v>3.9630000000000001</v>
      </c>
      <c r="N73" s="267">
        <f>Rounding!N168</f>
        <v>3.9630000000000001</v>
      </c>
      <c r="O73" s="267">
        <f>Rounding!O168</f>
        <v>3.9630000000000001</v>
      </c>
      <c r="P73" s="267">
        <f>Rounding!P168</f>
        <v>3.9630000000000001</v>
      </c>
      <c r="Q73" s="267">
        <f>Rounding!Q168</f>
        <v>3.9630000000000001</v>
      </c>
      <c r="R73" s="267">
        <f>Rounding!R168</f>
        <v>3.0960000000000001</v>
      </c>
      <c r="S73" s="267">
        <f>Rounding!S168</f>
        <v>3.0960000000000001</v>
      </c>
      <c r="T73" s="267">
        <f>Rounding!T168</f>
        <v>3.0960000000000001</v>
      </c>
      <c r="U73" s="267">
        <f>Rounding!U168</f>
        <v>3.0960000000000001</v>
      </c>
      <c r="V73" s="267">
        <f>Rounding!V168</f>
        <v>3.0960000000000001</v>
      </c>
      <c r="W73" s="267">
        <f>Rounding!W168</f>
        <v>3.3660000000000001</v>
      </c>
      <c r="X73" s="267">
        <f>Rounding!X168</f>
        <v>3.3660000000000001</v>
      </c>
      <c r="Y73" s="267">
        <f>Rounding!Y168</f>
        <v>3.3660000000000001</v>
      </c>
      <c r="Z73" s="267">
        <f>Rounding!Z168</f>
        <v>3.3660000000000001</v>
      </c>
      <c r="AA73" s="267">
        <f>Rounding!AA168</f>
        <v>3.3660000000000001</v>
      </c>
      <c r="AB73" s="267">
        <f>Rounding!AB168</f>
        <v>3.0640000000000001</v>
      </c>
      <c r="AC73" s="267">
        <f>Rounding!AC168</f>
        <v>3.0640000000000001</v>
      </c>
      <c r="AD73" s="267">
        <f>Rounding!AD168</f>
        <v>3.0640000000000001</v>
      </c>
      <c r="AE73" s="267">
        <f>Rounding!AE168</f>
        <v>3.0640000000000001</v>
      </c>
      <c r="AF73" s="267">
        <f>Rounding!AF168</f>
        <v>3.0640000000000001</v>
      </c>
      <c r="AG73" s="267">
        <f>Rounding!AG168</f>
        <v>12.452</v>
      </c>
      <c r="AH73" s="267">
        <f>Rounding!AH168</f>
        <v>-6.4669999999999996</v>
      </c>
      <c r="AI73" s="267">
        <f>Rounding!AI168</f>
        <v>-5.7430000000000003</v>
      </c>
      <c r="AJ73" s="267">
        <f>Rounding!AJ168</f>
        <v>-6.4669999999999996</v>
      </c>
      <c r="AK73" s="267">
        <f>Rounding!AK168</f>
        <v>0</v>
      </c>
      <c r="AL73" s="267">
        <f>Rounding!AL168</f>
        <v>-5.7430000000000003</v>
      </c>
      <c r="AM73" s="267">
        <f>Rounding!AM168</f>
        <v>0</v>
      </c>
      <c r="AN73" s="267">
        <f>Rounding!AN168</f>
        <v>-4.4080000000000004</v>
      </c>
      <c r="AO73" s="267">
        <f>Rounding!AO168</f>
        <v>0</v>
      </c>
      <c r="AP73" s="256"/>
      <c r="AQ73" s="256"/>
    </row>
    <row r="74" spans="3:43" x14ac:dyDescent="0.35">
      <c r="C74" s="78"/>
      <c r="F74" t="s">
        <v>157</v>
      </c>
      <c r="G74" s="12" t="s">
        <v>269</v>
      </c>
      <c r="H74" s="268"/>
      <c r="I74" s="256"/>
      <c r="J74" s="268">
        <f>Rounding!J169</f>
        <v>0.53800000000000003</v>
      </c>
      <c r="K74" s="268">
        <f>Rounding!K169</f>
        <v>0.53800000000000003</v>
      </c>
      <c r="L74" s="268">
        <f>Rounding!L169</f>
        <v>0.504</v>
      </c>
      <c r="M74" s="268">
        <f>Rounding!M169</f>
        <v>0.504</v>
      </c>
      <c r="N74" s="268">
        <f>Rounding!N169</f>
        <v>0.504</v>
      </c>
      <c r="O74" s="268">
        <f>Rounding!O169</f>
        <v>0.504</v>
      </c>
      <c r="P74" s="268">
        <f>Rounding!P169</f>
        <v>0.504</v>
      </c>
      <c r="Q74" s="268">
        <f>Rounding!Q169</f>
        <v>0.504</v>
      </c>
      <c r="R74" s="268">
        <f>Rounding!R169</f>
        <v>0.33900000000000002</v>
      </c>
      <c r="S74" s="268">
        <f>Rounding!S169</f>
        <v>0.33900000000000002</v>
      </c>
      <c r="T74" s="268">
        <f>Rounding!T169</f>
        <v>0.33900000000000002</v>
      </c>
      <c r="U74" s="268">
        <f>Rounding!U169</f>
        <v>0.33900000000000002</v>
      </c>
      <c r="V74" s="268">
        <f>Rounding!V169</f>
        <v>0.33900000000000002</v>
      </c>
      <c r="W74" s="268">
        <f>Rounding!W169</f>
        <v>0.252</v>
      </c>
      <c r="X74" s="268">
        <f>Rounding!X169</f>
        <v>0.252</v>
      </c>
      <c r="Y74" s="268">
        <f>Rounding!Y169</f>
        <v>0.252</v>
      </c>
      <c r="Z74" s="268">
        <f>Rounding!Z169</f>
        <v>0.252</v>
      </c>
      <c r="AA74" s="268">
        <f>Rounding!AA169</f>
        <v>0.252</v>
      </c>
      <c r="AB74" s="268">
        <f>Rounding!AB169</f>
        <v>0.20300000000000001</v>
      </c>
      <c r="AC74" s="268">
        <f>Rounding!AC169</f>
        <v>0.20300000000000001</v>
      </c>
      <c r="AD74" s="268">
        <f>Rounding!AD169</f>
        <v>0.20300000000000001</v>
      </c>
      <c r="AE74" s="268">
        <f>Rounding!AE169</f>
        <v>0.20300000000000001</v>
      </c>
      <c r="AF74" s="268">
        <f>Rounding!AF169</f>
        <v>0.20300000000000001</v>
      </c>
      <c r="AG74" s="268">
        <f>Rounding!AG169</f>
        <v>2.8239999999999998</v>
      </c>
      <c r="AH74" s="268">
        <f>Rounding!AH169</f>
        <v>-0.82199999999999995</v>
      </c>
      <c r="AI74" s="268">
        <f>Rounding!AI169</f>
        <v>-0.66700000000000004</v>
      </c>
      <c r="AJ74" s="268">
        <f>Rounding!AJ169</f>
        <v>-0.82199999999999995</v>
      </c>
      <c r="AK74" s="268">
        <f>Rounding!AK169</f>
        <v>0</v>
      </c>
      <c r="AL74" s="268">
        <f>Rounding!AL169</f>
        <v>-0.66700000000000004</v>
      </c>
      <c r="AM74" s="268">
        <f>Rounding!AM169</f>
        <v>0</v>
      </c>
      <c r="AN74" s="268">
        <f>Rounding!AN169</f>
        <v>-0.32900000000000001</v>
      </c>
      <c r="AO74" s="268">
        <f>Rounding!AO169</f>
        <v>0</v>
      </c>
      <c r="AP74" s="256"/>
      <c r="AQ74" s="256"/>
    </row>
    <row r="75" spans="3:43" x14ac:dyDescent="0.35">
      <c r="C75" s="78"/>
      <c r="F75" t="s">
        <v>158</v>
      </c>
      <c r="G75" s="12" t="s">
        <v>269</v>
      </c>
      <c r="H75" s="268"/>
      <c r="I75" s="256"/>
      <c r="J75" s="268">
        <f>Rounding!J170</f>
        <v>2.5999999999999999E-2</v>
      </c>
      <c r="K75" s="268">
        <f>Rounding!K170</f>
        <v>2.5999999999999999E-2</v>
      </c>
      <c r="L75" s="268">
        <f>Rounding!L170</f>
        <v>2.4E-2</v>
      </c>
      <c r="M75" s="268">
        <f>Rounding!M170</f>
        <v>2.4E-2</v>
      </c>
      <c r="N75" s="268">
        <f>Rounding!N170</f>
        <v>2.4E-2</v>
      </c>
      <c r="O75" s="268">
        <f>Rounding!O170</f>
        <v>2.4E-2</v>
      </c>
      <c r="P75" s="268">
        <f>Rounding!P170</f>
        <v>2.4E-2</v>
      </c>
      <c r="Q75" s="268">
        <f>Rounding!Q170</f>
        <v>2.4E-2</v>
      </c>
      <c r="R75" s="268">
        <f>Rounding!R170</f>
        <v>1.6E-2</v>
      </c>
      <c r="S75" s="268">
        <f>Rounding!S170</f>
        <v>1.6E-2</v>
      </c>
      <c r="T75" s="268">
        <f>Rounding!T170</f>
        <v>1.6E-2</v>
      </c>
      <c r="U75" s="268">
        <f>Rounding!U170</f>
        <v>1.6E-2</v>
      </c>
      <c r="V75" s="268">
        <f>Rounding!V170</f>
        <v>1.6E-2</v>
      </c>
      <c r="W75" s="268">
        <f>Rounding!W170</f>
        <v>1.0999999999999999E-2</v>
      </c>
      <c r="X75" s="268">
        <f>Rounding!X170</f>
        <v>1.0999999999999999E-2</v>
      </c>
      <c r="Y75" s="268">
        <f>Rounding!Y170</f>
        <v>1.0999999999999999E-2</v>
      </c>
      <c r="Z75" s="268">
        <f>Rounding!Z170</f>
        <v>1.0999999999999999E-2</v>
      </c>
      <c r="AA75" s="268">
        <f>Rounding!AA170</f>
        <v>1.0999999999999999E-2</v>
      </c>
      <c r="AB75" s="268">
        <f>Rounding!AB170</f>
        <v>8.9999999999999993E-3</v>
      </c>
      <c r="AC75" s="268">
        <f>Rounding!AC170</f>
        <v>8.9999999999999993E-3</v>
      </c>
      <c r="AD75" s="268">
        <f>Rounding!AD170</f>
        <v>8.9999999999999993E-3</v>
      </c>
      <c r="AE75" s="268">
        <f>Rounding!AE170</f>
        <v>8.9999999999999993E-3</v>
      </c>
      <c r="AF75" s="268">
        <f>Rounding!AF170</f>
        <v>8.9999999999999993E-3</v>
      </c>
      <c r="AG75" s="268">
        <f>Rounding!AG170</f>
        <v>2.3460000000000001</v>
      </c>
      <c r="AH75" s="268">
        <f>Rounding!AH170</f>
        <v>-0.04</v>
      </c>
      <c r="AI75" s="268">
        <f>Rounding!AI170</f>
        <v>-3.2000000000000001E-2</v>
      </c>
      <c r="AJ75" s="268">
        <f>Rounding!AJ170</f>
        <v>-0.04</v>
      </c>
      <c r="AK75" s="268">
        <f>Rounding!AK170</f>
        <v>0</v>
      </c>
      <c r="AL75" s="268">
        <f>Rounding!AL170</f>
        <v>-3.2000000000000001E-2</v>
      </c>
      <c r="AM75" s="268">
        <f>Rounding!AM170</f>
        <v>0</v>
      </c>
      <c r="AN75" s="268">
        <f>Rounding!AN170</f>
        <v>-1.4999999999999999E-2</v>
      </c>
      <c r="AO75" s="268">
        <f>Rounding!AO170</f>
        <v>0</v>
      </c>
      <c r="AP75" s="256"/>
      <c r="AQ75" s="256"/>
    </row>
    <row r="76" spans="3:43" x14ac:dyDescent="0.35">
      <c r="C76" s="78"/>
      <c r="F76" t="s">
        <v>159</v>
      </c>
      <c r="G76" s="12" t="s">
        <v>270</v>
      </c>
      <c r="H76" s="41"/>
      <c r="J76" s="110">
        <f>Rounding!J171</f>
        <v>12.21</v>
      </c>
      <c r="K76" s="110">
        <f>Rounding!K171</f>
        <v>0</v>
      </c>
      <c r="L76" s="110">
        <f>Rounding!L171</f>
        <v>4.88</v>
      </c>
      <c r="M76" s="110">
        <f>Rounding!M171</f>
        <v>13.14</v>
      </c>
      <c r="N76" s="110">
        <f>Rounding!N171</f>
        <v>27.49</v>
      </c>
      <c r="O76" s="110">
        <f>Rounding!O171</f>
        <v>54.94</v>
      </c>
      <c r="P76" s="110">
        <f>Rounding!P171</f>
        <v>145.66</v>
      </c>
      <c r="Q76" s="110">
        <f>Rounding!Q171</f>
        <v>0</v>
      </c>
      <c r="R76" s="110">
        <f>Rounding!R171</f>
        <v>10.9</v>
      </c>
      <c r="S76" s="110">
        <f>Rounding!S171</f>
        <v>262.83999999999997</v>
      </c>
      <c r="T76" s="110">
        <f>Rounding!T171</f>
        <v>433.61</v>
      </c>
      <c r="U76" s="110">
        <f>Rounding!U171</f>
        <v>725.47</v>
      </c>
      <c r="V76" s="110">
        <f>Rounding!V171</f>
        <v>1819.71</v>
      </c>
      <c r="W76" s="110">
        <f>Rounding!W171</f>
        <v>43.85</v>
      </c>
      <c r="X76" s="110">
        <f>Rounding!X171</f>
        <v>454.13</v>
      </c>
      <c r="Y76" s="110">
        <f>Rounding!Y171</f>
        <v>732.23</v>
      </c>
      <c r="Z76" s="110">
        <f>Rounding!Z171</f>
        <v>1207.51</v>
      </c>
      <c r="AA76" s="110">
        <f>Rounding!AA171</f>
        <v>2989.46</v>
      </c>
      <c r="AB76" s="110">
        <f>Rounding!AB171</f>
        <v>177.99</v>
      </c>
      <c r="AC76" s="110">
        <f>Rounding!AC171</f>
        <v>2834.65</v>
      </c>
      <c r="AD76" s="110">
        <f>Rounding!AD171</f>
        <v>7061.84</v>
      </c>
      <c r="AE76" s="110">
        <f>Rounding!AE171</f>
        <v>13662.3</v>
      </c>
      <c r="AF76" s="110">
        <f>Rounding!AF171</f>
        <v>34873</v>
      </c>
      <c r="AG76" s="110">
        <f>Rounding!AG171</f>
        <v>0</v>
      </c>
      <c r="AH76" s="110">
        <f>Rounding!AH171</f>
        <v>0</v>
      </c>
      <c r="AI76" s="110">
        <f>Rounding!AI171</f>
        <v>0</v>
      </c>
      <c r="AJ76" s="110">
        <f>Rounding!AJ171</f>
        <v>0</v>
      </c>
      <c r="AK76" s="110">
        <f>Rounding!AK171</f>
        <v>0</v>
      </c>
      <c r="AL76" s="110">
        <f>Rounding!AL171</f>
        <v>0</v>
      </c>
      <c r="AM76" s="110">
        <f>Rounding!AM171</f>
        <v>0</v>
      </c>
      <c r="AN76" s="110">
        <f>Rounding!AN171</f>
        <v>0</v>
      </c>
      <c r="AO76" s="110">
        <f>Rounding!AO171</f>
        <v>0</v>
      </c>
    </row>
    <row r="77" spans="3:43" x14ac:dyDescent="0.35">
      <c r="C77" s="78"/>
      <c r="F77" t="s">
        <v>160</v>
      </c>
      <c r="G77" s="12" t="s">
        <v>271</v>
      </c>
      <c r="H77" s="41"/>
      <c r="J77" s="110">
        <f>Rounding!J172</f>
        <v>0</v>
      </c>
      <c r="K77" s="110">
        <f>Rounding!K172</f>
        <v>0</v>
      </c>
      <c r="L77" s="110">
        <f>Rounding!L172</f>
        <v>0</v>
      </c>
      <c r="M77" s="110">
        <f>Rounding!M172</f>
        <v>0</v>
      </c>
      <c r="N77" s="110">
        <f>Rounding!N172</f>
        <v>0</v>
      </c>
      <c r="O77" s="110">
        <f>Rounding!O172</f>
        <v>0</v>
      </c>
      <c r="P77" s="110">
        <f>Rounding!P172</f>
        <v>0</v>
      </c>
      <c r="Q77" s="110">
        <f>Rounding!Q172</f>
        <v>0</v>
      </c>
      <c r="R77" s="110">
        <f>Rounding!R172</f>
        <v>1.87</v>
      </c>
      <c r="S77" s="110">
        <f>Rounding!S172</f>
        <v>1.87</v>
      </c>
      <c r="T77" s="110">
        <f>Rounding!T172</f>
        <v>1.87</v>
      </c>
      <c r="U77" s="110">
        <f>Rounding!U172</f>
        <v>1.87</v>
      </c>
      <c r="V77" s="110">
        <f>Rounding!V172</f>
        <v>1.87</v>
      </c>
      <c r="W77" s="110">
        <f>Rounding!W172</f>
        <v>4.08</v>
      </c>
      <c r="X77" s="110">
        <f>Rounding!X172</f>
        <v>4.08</v>
      </c>
      <c r="Y77" s="110">
        <f>Rounding!Y172</f>
        <v>4.08</v>
      </c>
      <c r="Z77" s="110">
        <f>Rounding!Z172</f>
        <v>4.08</v>
      </c>
      <c r="AA77" s="110">
        <f>Rounding!AA172</f>
        <v>4.08</v>
      </c>
      <c r="AB77" s="110">
        <f>Rounding!AB172</f>
        <v>5.51</v>
      </c>
      <c r="AC77" s="110">
        <f>Rounding!AC172</f>
        <v>5.51</v>
      </c>
      <c r="AD77" s="110">
        <f>Rounding!AD172</f>
        <v>5.51</v>
      </c>
      <c r="AE77" s="110">
        <f>Rounding!AE172</f>
        <v>5.51</v>
      </c>
      <c r="AF77" s="110">
        <f>Rounding!AF172</f>
        <v>5.51</v>
      </c>
      <c r="AG77" s="110">
        <f>Rounding!AG172</f>
        <v>0</v>
      </c>
      <c r="AH77" s="110">
        <f>Rounding!AH172</f>
        <v>0</v>
      </c>
      <c r="AI77" s="110">
        <f>Rounding!AI172</f>
        <v>0</v>
      </c>
      <c r="AJ77" s="110">
        <f>Rounding!AJ172</f>
        <v>0</v>
      </c>
      <c r="AK77" s="110">
        <f>Rounding!AK172</f>
        <v>0</v>
      </c>
      <c r="AL77" s="110">
        <f>Rounding!AL172</f>
        <v>0</v>
      </c>
      <c r="AM77" s="110">
        <f>Rounding!AM172</f>
        <v>0</v>
      </c>
      <c r="AN77" s="110">
        <f>Rounding!AN172</f>
        <v>0</v>
      </c>
      <c r="AO77" s="110">
        <f>Rounding!AO172</f>
        <v>0</v>
      </c>
    </row>
    <row r="78" spans="3:43" x14ac:dyDescent="0.35">
      <c r="C78" s="78"/>
      <c r="F78" t="s">
        <v>161</v>
      </c>
      <c r="G78" s="12" t="s">
        <v>271</v>
      </c>
      <c r="H78" s="41"/>
      <c r="J78" s="110">
        <f>Rounding!J173</f>
        <v>0</v>
      </c>
      <c r="K78" s="110">
        <f>Rounding!K173</f>
        <v>0</v>
      </c>
      <c r="L78" s="110">
        <f>Rounding!L173</f>
        <v>0</v>
      </c>
      <c r="M78" s="110">
        <f>Rounding!M173</f>
        <v>0</v>
      </c>
      <c r="N78" s="110">
        <f>Rounding!N173</f>
        <v>0</v>
      </c>
      <c r="O78" s="110">
        <f>Rounding!O173</f>
        <v>0</v>
      </c>
      <c r="P78" s="110">
        <f>Rounding!P173</f>
        <v>0</v>
      </c>
      <c r="Q78" s="110">
        <f>Rounding!Q173</f>
        <v>0</v>
      </c>
      <c r="R78" s="110">
        <f>Rounding!R173</f>
        <v>3.26</v>
      </c>
      <c r="S78" s="110">
        <f>Rounding!S173</f>
        <v>3.26</v>
      </c>
      <c r="T78" s="110">
        <f>Rounding!T173</f>
        <v>3.26</v>
      </c>
      <c r="U78" s="110">
        <f>Rounding!U173</f>
        <v>3.26</v>
      </c>
      <c r="V78" s="110">
        <f>Rounding!V173</f>
        <v>3.26</v>
      </c>
      <c r="W78" s="110">
        <f>Rounding!W173</f>
        <v>5.23</v>
      </c>
      <c r="X78" s="110">
        <f>Rounding!X173</f>
        <v>5.23</v>
      </c>
      <c r="Y78" s="110">
        <f>Rounding!Y173</f>
        <v>5.23</v>
      </c>
      <c r="Z78" s="110">
        <f>Rounding!Z173</f>
        <v>5.23</v>
      </c>
      <c r="AA78" s="110">
        <f>Rounding!AA173</f>
        <v>5.23</v>
      </c>
      <c r="AB78" s="110">
        <f>Rounding!AB173</f>
        <v>6.57</v>
      </c>
      <c r="AC78" s="110">
        <f>Rounding!AC173</f>
        <v>6.57</v>
      </c>
      <c r="AD78" s="110">
        <f>Rounding!AD173</f>
        <v>6.57</v>
      </c>
      <c r="AE78" s="110">
        <f>Rounding!AE173</f>
        <v>6.57</v>
      </c>
      <c r="AF78" s="110">
        <f>Rounding!AF173</f>
        <v>6.57</v>
      </c>
      <c r="AG78" s="110">
        <f>Rounding!AG173</f>
        <v>0</v>
      </c>
      <c r="AH78" s="110">
        <f>Rounding!AH173</f>
        <v>0</v>
      </c>
      <c r="AI78" s="110">
        <f>Rounding!AI173</f>
        <v>0</v>
      </c>
      <c r="AJ78" s="110">
        <f>Rounding!AJ173</f>
        <v>0</v>
      </c>
      <c r="AK78" s="110">
        <f>Rounding!AK173</f>
        <v>0</v>
      </c>
      <c r="AL78" s="110">
        <f>Rounding!AL173</f>
        <v>0</v>
      </c>
      <c r="AM78" s="110">
        <f>Rounding!AM173</f>
        <v>0</v>
      </c>
      <c r="AN78" s="110">
        <f>Rounding!AN173</f>
        <v>0</v>
      </c>
      <c r="AO78" s="110">
        <f>Rounding!AO173</f>
        <v>0</v>
      </c>
    </row>
    <row r="79" spans="3:43" x14ac:dyDescent="0.35">
      <c r="C79" s="78"/>
      <c r="F79" s="28" t="s">
        <v>162</v>
      </c>
      <c r="G79" s="76" t="s">
        <v>272</v>
      </c>
      <c r="H79" s="272"/>
      <c r="I79" s="258"/>
      <c r="J79" s="272">
        <f>Rounding!J174</f>
        <v>0</v>
      </c>
      <c r="K79" s="272">
        <f>Rounding!K174</f>
        <v>0</v>
      </c>
      <c r="L79" s="272">
        <f>Rounding!L174</f>
        <v>0</v>
      </c>
      <c r="M79" s="272">
        <f>Rounding!M174</f>
        <v>0</v>
      </c>
      <c r="N79" s="272">
        <f>Rounding!N174</f>
        <v>0</v>
      </c>
      <c r="O79" s="272">
        <f>Rounding!O174</f>
        <v>0</v>
      </c>
      <c r="P79" s="272">
        <f>Rounding!P174</f>
        <v>0</v>
      </c>
      <c r="Q79" s="272">
        <f>Rounding!Q174</f>
        <v>0</v>
      </c>
      <c r="R79" s="272">
        <f>Rounding!R174</f>
        <v>0.111</v>
      </c>
      <c r="S79" s="272">
        <f>Rounding!S174</f>
        <v>0.111</v>
      </c>
      <c r="T79" s="272">
        <f>Rounding!T174</f>
        <v>0.111</v>
      </c>
      <c r="U79" s="272">
        <f>Rounding!U174</f>
        <v>0.111</v>
      </c>
      <c r="V79" s="272">
        <f>Rounding!V174</f>
        <v>0.111</v>
      </c>
      <c r="W79" s="272">
        <f>Rounding!W174</f>
        <v>0.10100000000000001</v>
      </c>
      <c r="X79" s="272">
        <f>Rounding!X174</f>
        <v>0.10100000000000001</v>
      </c>
      <c r="Y79" s="272">
        <f>Rounding!Y174</f>
        <v>0.10100000000000001</v>
      </c>
      <c r="Z79" s="272">
        <f>Rounding!Z174</f>
        <v>0.10100000000000001</v>
      </c>
      <c r="AA79" s="272">
        <f>Rounding!AA174</f>
        <v>0.10100000000000001</v>
      </c>
      <c r="AB79" s="272">
        <f>Rounding!AB174</f>
        <v>8.7999999999999995E-2</v>
      </c>
      <c r="AC79" s="272">
        <f>Rounding!AC174</f>
        <v>8.7999999999999995E-2</v>
      </c>
      <c r="AD79" s="272">
        <f>Rounding!AD174</f>
        <v>8.7999999999999995E-2</v>
      </c>
      <c r="AE79" s="272">
        <f>Rounding!AE174</f>
        <v>8.7999999999999995E-2</v>
      </c>
      <c r="AF79" s="272">
        <f>Rounding!AF174</f>
        <v>8.7999999999999995E-2</v>
      </c>
      <c r="AG79" s="272">
        <f>Rounding!AG174</f>
        <v>0</v>
      </c>
      <c r="AH79" s="272">
        <f>Rounding!AH174</f>
        <v>0</v>
      </c>
      <c r="AI79" s="272">
        <f>Rounding!AI174</f>
        <v>0</v>
      </c>
      <c r="AJ79" s="272">
        <f>Rounding!AJ174</f>
        <v>0.254</v>
      </c>
      <c r="AK79" s="272">
        <f>Rounding!AK174</f>
        <v>0</v>
      </c>
      <c r="AL79" s="272">
        <f>Rounding!AL174</f>
        <v>0.21</v>
      </c>
      <c r="AM79" s="272">
        <f>Rounding!AM174</f>
        <v>0</v>
      </c>
      <c r="AN79" s="272">
        <f>Rounding!AN174</f>
        <v>0.182</v>
      </c>
      <c r="AO79" s="272">
        <f>Rounding!AO174</f>
        <v>0</v>
      </c>
      <c r="AP79" s="256"/>
      <c r="AQ79" s="256"/>
    </row>
    <row r="80" spans="3:43" x14ac:dyDescent="0.35">
      <c r="C80" s="78"/>
      <c r="D80" s="2"/>
      <c r="E80" s="2"/>
      <c r="G80" s="12"/>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row>
    <row r="81" spans="2:43" x14ac:dyDescent="0.35">
      <c r="C81" s="26" t="str">
        <f ca="1">INDEX('Version control'!$H$38:$H$61,MATCH($A$1,'Version control'!$F$38:$F$61,0),1)&amp;"-C: Net revenue components"</f>
        <v>Section 118-C: Net revenue components</v>
      </c>
      <c r="D81" s="26"/>
      <c r="E81" s="26"/>
      <c r="F81" s="26"/>
      <c r="G81" s="26"/>
      <c r="H81" s="26"/>
      <c r="I81" s="26"/>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26"/>
      <c r="AQ81" s="26"/>
    </row>
    <row r="82" spans="2:43" x14ac:dyDescent="0.35">
      <c r="D82" s="27"/>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row>
    <row r="83" spans="2:43" x14ac:dyDescent="0.35">
      <c r="E83" t="s">
        <v>736</v>
      </c>
      <c r="G83" s="12" t="s">
        <v>277</v>
      </c>
      <c r="H83" s="110">
        <f>'General inputs'!$H$88</f>
        <v>989850258.58372772</v>
      </c>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c r="AN83" s="189"/>
      <c r="AO83" s="189"/>
    </row>
    <row r="84" spans="2:43" x14ac:dyDescent="0.35">
      <c r="G84" s="12"/>
      <c r="H84" s="110"/>
      <c r="J84" s="189"/>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c r="AN84" s="189"/>
      <c r="AO84" s="189"/>
    </row>
    <row r="85" spans="2:43" x14ac:dyDescent="0.35">
      <c r="E85" t="s">
        <v>761</v>
      </c>
      <c r="G85" s="12" t="s">
        <v>277</v>
      </c>
      <c r="H85" s="110">
        <f>'Revenue matching'!H83</f>
        <v>484436781.5392493</v>
      </c>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c r="AN85" s="189"/>
      <c r="AO85" s="189"/>
    </row>
    <row r="86" spans="2:43" x14ac:dyDescent="0.35">
      <c r="E86" t="s">
        <v>891</v>
      </c>
      <c r="G86" s="12" t="s">
        <v>277</v>
      </c>
      <c r="H86" s="114">
        <f>'SoLR &amp; bad debt adders'!H57</f>
        <v>8848316.0374732353</v>
      </c>
      <c r="J86" s="189"/>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89"/>
      <c r="AI86" s="189"/>
      <c r="AJ86" s="189"/>
      <c r="AK86" s="189"/>
      <c r="AL86" s="189"/>
      <c r="AM86" s="189"/>
      <c r="AN86" s="189"/>
      <c r="AO86" s="189"/>
    </row>
    <row r="87" spans="2:43" x14ac:dyDescent="0.35">
      <c r="E87" t="s">
        <v>892</v>
      </c>
      <c r="G87" s="12" t="s">
        <v>277</v>
      </c>
      <c r="H87" s="114">
        <f>'SoLR &amp; bad debt adders'!H61</f>
        <v>13189.058791854763</v>
      </c>
      <c r="J87" s="189"/>
      <c r="K87" s="189"/>
      <c r="L87" s="189"/>
      <c r="M87" s="189"/>
      <c r="N87" s="189"/>
      <c r="O87" s="189"/>
      <c r="P87" s="189"/>
      <c r="Q87" s="189"/>
      <c r="R87" s="189"/>
      <c r="S87" s="189"/>
      <c r="T87" s="189"/>
      <c r="U87" s="189"/>
      <c r="V87" s="189"/>
      <c r="W87" s="189"/>
      <c r="X87" s="189"/>
      <c r="Y87" s="189"/>
      <c r="Z87" s="189"/>
      <c r="AA87" s="189"/>
      <c r="AB87" s="189"/>
      <c r="AC87" s="189"/>
      <c r="AD87" s="189"/>
      <c r="AE87" s="189"/>
      <c r="AF87" s="189"/>
      <c r="AG87" s="189"/>
      <c r="AH87" s="189"/>
      <c r="AI87" s="189"/>
      <c r="AJ87" s="189"/>
      <c r="AK87" s="189"/>
      <c r="AL87" s="189"/>
      <c r="AM87" s="189"/>
      <c r="AN87" s="189"/>
      <c r="AO87" s="189"/>
    </row>
    <row r="88" spans="2:43" x14ac:dyDescent="0.35">
      <c r="E88" t="s">
        <v>1012</v>
      </c>
      <c r="G88" s="12" t="s">
        <v>277</v>
      </c>
      <c r="H88" s="114">
        <f>'Revenue matching'!H85</f>
        <v>496551971.94821334</v>
      </c>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row>
    <row r="89" spans="2:43" x14ac:dyDescent="0.35">
      <c r="D89" s="27"/>
      <c r="H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row>
    <row r="90" spans="2:43" x14ac:dyDescent="0.35">
      <c r="B90" s="25" t="s">
        <v>762</v>
      </c>
      <c r="C90" s="25"/>
      <c r="D90" s="25"/>
      <c r="E90" s="25"/>
      <c r="F90" s="25"/>
      <c r="G90" s="25"/>
      <c r="H90" s="174"/>
      <c r="I90" s="25"/>
      <c r="J90" s="174"/>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c r="AN90" s="174"/>
      <c r="AO90" s="174"/>
      <c r="AP90" s="25"/>
      <c r="AQ90" s="25"/>
    </row>
    <row r="91" spans="2:43" x14ac:dyDescent="0.35">
      <c r="D91" s="2"/>
      <c r="E91" s="2"/>
      <c r="H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row>
    <row r="92" spans="2:43" x14ac:dyDescent="0.35">
      <c r="C92" s="26" t="str">
        <f ca="1">INDEX('Version control'!$H$38:$H$61,MATCH($A$1,'Version control'!$F$38:$F$61,0),1)&amp;"-D: Net revenue by tariff"</f>
        <v>Section 118-D: Net revenue by tariff</v>
      </c>
      <c r="D92" s="26"/>
      <c r="E92" s="26"/>
      <c r="F92" s="26"/>
      <c r="G92" s="26"/>
      <c r="H92" s="80"/>
      <c r="I92" s="26"/>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26"/>
      <c r="AQ92" s="26"/>
    </row>
    <row r="93" spans="2:43" x14ac:dyDescent="0.35">
      <c r="F93" s="3"/>
      <c r="G93" s="202"/>
      <c r="H93" s="117"/>
      <c r="I93" s="3"/>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row>
    <row r="94" spans="2:43" x14ac:dyDescent="0.35">
      <c r="E94" s="27" t="s">
        <v>763</v>
      </c>
      <c r="G94" s="12"/>
      <c r="H94" s="203" t="s">
        <v>544</v>
      </c>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row>
    <row r="95" spans="2:43" x14ac:dyDescent="0.35">
      <c r="E95" s="23"/>
      <c r="F95" s="19" t="s">
        <v>156</v>
      </c>
      <c r="G95" s="75" t="s">
        <v>277</v>
      </c>
      <c r="H95" s="116">
        <f t="shared" ref="H95:H101" si="0">SUM(J95:AO95)</f>
        <v>184121921.2089746</v>
      </c>
      <c r="I95" s="19"/>
      <c r="J95" s="116">
        <f t="shared" ref="J95:AO95" si="1">J22 * thousand * J55 / hundred</f>
        <v>109801780.22509186</v>
      </c>
      <c r="K95" s="116">
        <f t="shared" si="1"/>
        <v>30483.958769641031</v>
      </c>
      <c r="L95" s="116">
        <f t="shared" si="1"/>
        <v>1858.2879055917347</v>
      </c>
      <c r="M95" s="116">
        <f t="shared" si="1"/>
        <v>2217250.8344428046</v>
      </c>
      <c r="N95" s="116">
        <f t="shared" si="1"/>
        <v>4611515.4495911309</v>
      </c>
      <c r="O95" s="116">
        <f t="shared" si="1"/>
        <v>5316954.3339654114</v>
      </c>
      <c r="P95" s="116">
        <f t="shared" si="1"/>
        <v>14444489.885522483</v>
      </c>
      <c r="Q95" s="116">
        <f t="shared" si="1"/>
        <v>52342.80187936726</v>
      </c>
      <c r="R95" s="116">
        <f t="shared" si="1"/>
        <v>5351.2466507692852</v>
      </c>
      <c r="S95" s="116">
        <f t="shared" si="1"/>
        <v>6332292.056984799</v>
      </c>
      <c r="T95" s="116">
        <f t="shared" si="1"/>
        <v>6221306.003156092</v>
      </c>
      <c r="U95" s="116">
        <f t="shared" si="1"/>
        <v>5015184.8442256898</v>
      </c>
      <c r="V95" s="116">
        <f t="shared" si="1"/>
        <v>16472718.809782136</v>
      </c>
      <c r="W95" s="116">
        <f t="shared" si="1"/>
        <v>0</v>
      </c>
      <c r="X95" s="116">
        <f t="shared" si="1"/>
        <v>4592.9569824742766</v>
      </c>
      <c r="Y95" s="116">
        <f t="shared" si="1"/>
        <v>59905.669819284856</v>
      </c>
      <c r="Z95" s="116">
        <f t="shared" si="1"/>
        <v>91733.164996440813</v>
      </c>
      <c r="AA95" s="116">
        <f t="shared" si="1"/>
        <v>1143741.8777955307</v>
      </c>
      <c r="AB95" s="116">
        <f t="shared" si="1"/>
        <v>13593.018750239482</v>
      </c>
      <c r="AC95" s="116">
        <f t="shared" si="1"/>
        <v>836985.38631769281</v>
      </c>
      <c r="AD95" s="116">
        <f t="shared" si="1"/>
        <v>3150959.2078016656</v>
      </c>
      <c r="AE95" s="116">
        <f t="shared" si="1"/>
        <v>2491377.052199726</v>
      </c>
      <c r="AF95" s="116">
        <f t="shared" si="1"/>
        <v>7215512.8962519178</v>
      </c>
      <c r="AG95" s="116">
        <f t="shared" si="1"/>
        <v>2554880.0705978344</v>
      </c>
      <c r="AH95" s="116">
        <f t="shared" si="1"/>
        <v>-59712.656479999983</v>
      </c>
      <c r="AI95" s="116">
        <f t="shared" si="1"/>
        <v>-1111.9022299999999</v>
      </c>
      <c r="AJ95" s="116">
        <f t="shared" si="1"/>
        <v>-214599.03963599997</v>
      </c>
      <c r="AK95" s="116">
        <f t="shared" si="1"/>
        <v>0</v>
      </c>
      <c r="AL95" s="116">
        <f t="shared" si="1"/>
        <v>0</v>
      </c>
      <c r="AM95" s="116">
        <f t="shared" si="1"/>
        <v>0</v>
      </c>
      <c r="AN95" s="116">
        <f t="shared" si="1"/>
        <v>-3689465.2321600001</v>
      </c>
      <c r="AO95" s="116">
        <f t="shared" si="1"/>
        <v>0</v>
      </c>
    </row>
    <row r="96" spans="2:43" x14ac:dyDescent="0.35">
      <c r="E96" s="23"/>
      <c r="F96" t="s">
        <v>157</v>
      </c>
      <c r="G96" s="12" t="s">
        <v>277</v>
      </c>
      <c r="H96" s="88">
        <f t="shared" si="0"/>
        <v>112431977.50075032</v>
      </c>
      <c r="J96" s="88">
        <f t="shared" ref="J96:AO96" si="2">J23 * thousand * J56 / hundred</f>
        <v>61240654.274209812</v>
      </c>
      <c r="K96" s="88">
        <f t="shared" si="2"/>
        <v>440560.42194409092</v>
      </c>
      <c r="L96" s="88">
        <f t="shared" si="2"/>
        <v>1493.5608758131284</v>
      </c>
      <c r="M96" s="88">
        <f t="shared" si="2"/>
        <v>1782069.9840013608</v>
      </c>
      <c r="N96" s="88">
        <f t="shared" si="2"/>
        <v>3706411.1718059583</v>
      </c>
      <c r="O96" s="88">
        <f t="shared" si="2"/>
        <v>4273393.2389056114</v>
      </c>
      <c r="P96" s="88">
        <f t="shared" si="2"/>
        <v>11609463.151096122</v>
      </c>
      <c r="Q96" s="88">
        <f t="shared" si="2"/>
        <v>86367.097608710392</v>
      </c>
      <c r="R96" s="88">
        <f t="shared" si="2"/>
        <v>3370.5840453944879</v>
      </c>
      <c r="S96" s="88">
        <f t="shared" si="2"/>
        <v>3988514.0736286016</v>
      </c>
      <c r="T96" s="88">
        <f t="shared" si="2"/>
        <v>3918607.4057603651</v>
      </c>
      <c r="U96" s="88">
        <f t="shared" si="2"/>
        <v>3158909.1521732141</v>
      </c>
      <c r="V96" s="88">
        <f t="shared" si="2"/>
        <v>10375653.904224265</v>
      </c>
      <c r="W96" s="88">
        <f t="shared" si="2"/>
        <v>0</v>
      </c>
      <c r="X96" s="88">
        <f t="shared" si="2"/>
        <v>1948.712822454049</v>
      </c>
      <c r="Y96" s="88">
        <f t="shared" si="2"/>
        <v>25416.947591712553</v>
      </c>
      <c r="Z96" s="88">
        <f t="shared" si="2"/>
        <v>38920.807565795301</v>
      </c>
      <c r="AA96" s="88">
        <f t="shared" si="2"/>
        <v>485270.04963088728</v>
      </c>
      <c r="AB96" s="88">
        <f t="shared" si="2"/>
        <v>5077.1491057322855</v>
      </c>
      <c r="AC96" s="88">
        <f t="shared" si="2"/>
        <v>312623.68453504832</v>
      </c>
      <c r="AD96" s="88">
        <f t="shared" si="2"/>
        <v>1176919.565700392</v>
      </c>
      <c r="AE96" s="88">
        <f t="shared" si="2"/>
        <v>930558.03166569769</v>
      </c>
      <c r="AF96" s="88">
        <f t="shared" si="2"/>
        <v>2695077.195266854</v>
      </c>
      <c r="AG96" s="88">
        <f t="shared" si="2"/>
        <v>4242722.5652154414</v>
      </c>
      <c r="AH96" s="88">
        <f t="shared" si="2"/>
        <v>-64482.825719999993</v>
      </c>
      <c r="AI96" s="88">
        <f t="shared" si="2"/>
        <v>-1128.38391</v>
      </c>
      <c r="AJ96" s="88">
        <f t="shared" si="2"/>
        <v>-252482.32899599997</v>
      </c>
      <c r="AK96" s="88">
        <f t="shared" si="2"/>
        <v>0</v>
      </c>
      <c r="AL96" s="88">
        <f t="shared" si="2"/>
        <v>0</v>
      </c>
      <c r="AM96" s="88">
        <f t="shared" si="2"/>
        <v>0</v>
      </c>
      <c r="AN96" s="88">
        <f t="shared" si="2"/>
        <v>-1749931.690003</v>
      </c>
      <c r="AO96" s="88">
        <f t="shared" si="2"/>
        <v>0</v>
      </c>
    </row>
    <row r="97" spans="5:41" x14ac:dyDescent="0.35">
      <c r="E97" s="23"/>
      <c r="F97" t="s">
        <v>158</v>
      </c>
      <c r="G97" s="12" t="s">
        <v>277</v>
      </c>
      <c r="H97" s="88">
        <f t="shared" si="0"/>
        <v>8398421.0314330664</v>
      </c>
      <c r="J97" s="88">
        <f t="shared" ref="J97:AO97" si="3">J24 * thousand * J57 / hundred</f>
        <v>1626158.8180356889</v>
      </c>
      <c r="K97" s="88">
        <f t="shared" si="3"/>
        <v>51930.791810216375</v>
      </c>
      <c r="L97" s="88">
        <f t="shared" si="3"/>
        <v>34.02249715985154</v>
      </c>
      <c r="M97" s="88">
        <f t="shared" si="3"/>
        <v>40594.576325075708</v>
      </c>
      <c r="N97" s="88">
        <f t="shared" si="3"/>
        <v>84430.01260150029</v>
      </c>
      <c r="O97" s="88">
        <f t="shared" si="3"/>
        <v>97345.552958757355</v>
      </c>
      <c r="P97" s="88">
        <f t="shared" si="3"/>
        <v>264457.19989185664</v>
      </c>
      <c r="Q97" s="88">
        <f t="shared" si="3"/>
        <v>13513.969503176908</v>
      </c>
      <c r="R97" s="88">
        <f t="shared" si="3"/>
        <v>87.080056880689938</v>
      </c>
      <c r="S97" s="88">
        <f t="shared" si="3"/>
        <v>103044.46580276891</v>
      </c>
      <c r="T97" s="88">
        <f t="shared" si="3"/>
        <v>101238.40592343638</v>
      </c>
      <c r="U97" s="88">
        <f t="shared" si="3"/>
        <v>81611.372078983637</v>
      </c>
      <c r="V97" s="88">
        <f t="shared" si="3"/>
        <v>268058.15252960281</v>
      </c>
      <c r="W97" s="88">
        <f t="shared" si="3"/>
        <v>0</v>
      </c>
      <c r="X97" s="88">
        <f t="shared" si="3"/>
        <v>57.196082823599298</v>
      </c>
      <c r="Y97" s="88">
        <f t="shared" si="3"/>
        <v>746.00516958057517</v>
      </c>
      <c r="Z97" s="88">
        <f t="shared" si="3"/>
        <v>1142.3528944050399</v>
      </c>
      <c r="AA97" s="88">
        <f t="shared" si="3"/>
        <v>14243.014994660585</v>
      </c>
      <c r="AB97" s="88">
        <f t="shared" si="3"/>
        <v>160.42303336853317</v>
      </c>
      <c r="AC97" s="88">
        <f t="shared" si="3"/>
        <v>9877.9923007059951</v>
      </c>
      <c r="AD97" s="88">
        <f t="shared" si="3"/>
        <v>37187.209362684633</v>
      </c>
      <c r="AE97" s="88">
        <f t="shared" si="3"/>
        <v>29402.906839335665</v>
      </c>
      <c r="AF97" s="88">
        <f t="shared" si="3"/>
        <v>85156.541559696532</v>
      </c>
      <c r="AG97" s="88">
        <f t="shared" si="3"/>
        <v>5529509.9075056994</v>
      </c>
      <c r="AH97" s="88">
        <f t="shared" si="3"/>
        <v>-316.28319999999997</v>
      </c>
      <c r="AI97" s="88">
        <f t="shared" si="3"/>
        <v>-7.7135999999999987</v>
      </c>
      <c r="AJ97" s="88">
        <f t="shared" si="3"/>
        <v>-3378.9429599999999</v>
      </c>
      <c r="AK97" s="88">
        <f t="shared" si="3"/>
        <v>0</v>
      </c>
      <c r="AL97" s="88">
        <f t="shared" si="3"/>
        <v>0</v>
      </c>
      <c r="AM97" s="88">
        <f t="shared" si="3"/>
        <v>0</v>
      </c>
      <c r="AN97" s="88">
        <f t="shared" si="3"/>
        <v>-37863.998565000002</v>
      </c>
      <c r="AO97" s="88">
        <f t="shared" si="3"/>
        <v>0</v>
      </c>
    </row>
    <row r="98" spans="5:41" x14ac:dyDescent="0.35">
      <c r="E98" s="23"/>
      <c r="F98" s="19" t="s">
        <v>159</v>
      </c>
      <c r="G98" s="75" t="s">
        <v>277</v>
      </c>
      <c r="H98" s="116">
        <f t="shared" si="0"/>
        <v>561429265.06233025</v>
      </c>
      <c r="I98" s="19"/>
      <c r="J98" s="116">
        <f t="shared" ref="J98:AO98" si="4" xml:space="preserve"> J25 * J58 * days_in_year / hundred</f>
        <v>273182161.39716816</v>
      </c>
      <c r="K98" s="116">
        <f t="shared" si="4"/>
        <v>0</v>
      </c>
      <c r="L98" s="116">
        <f t="shared" si="4"/>
        <v>330.05886863192637</v>
      </c>
      <c r="M98" s="116">
        <f t="shared" si="4"/>
        <v>9269739.2092832867</v>
      </c>
      <c r="N98" s="116">
        <f t="shared" si="4"/>
        <v>14908973.30933471</v>
      </c>
      <c r="O98" s="116">
        <f t="shared" si="4"/>
        <v>15432571.738704879</v>
      </c>
      <c r="P98" s="116">
        <f t="shared" si="4"/>
        <v>39847861.262044847</v>
      </c>
      <c r="Q98" s="116">
        <f t="shared" si="4"/>
        <v>0</v>
      </c>
      <c r="R98" s="116">
        <f t="shared" si="4"/>
        <v>1032.2667295041856</v>
      </c>
      <c r="S98" s="116">
        <f t="shared" si="4"/>
        <v>21712905.142563839</v>
      </c>
      <c r="T98" s="116">
        <f t="shared" si="4"/>
        <v>20599182.139676165</v>
      </c>
      <c r="U98" s="116">
        <f t="shared" si="4"/>
        <v>16420636.965077747</v>
      </c>
      <c r="V98" s="116">
        <f t="shared" si="4"/>
        <v>56020580.173958108</v>
      </c>
      <c r="W98" s="116">
        <f t="shared" si="4"/>
        <v>0</v>
      </c>
      <c r="X98" s="116">
        <f t="shared" si="4"/>
        <v>11189.2575</v>
      </c>
      <c r="Y98" s="116">
        <f t="shared" si="4"/>
        <v>158547.58616129032</v>
      </c>
      <c r="Z98" s="116">
        <f t="shared" si="4"/>
        <v>309282.61224193563</v>
      </c>
      <c r="AA98" s="116">
        <f t="shared" si="4"/>
        <v>2925620.4112903224</v>
      </c>
      <c r="AB98" s="116">
        <f t="shared" si="4"/>
        <v>60638.102973118817</v>
      </c>
      <c r="AC98" s="116">
        <f t="shared" si="4"/>
        <v>5838124.3829540778</v>
      </c>
      <c r="AD98" s="116">
        <f t="shared" si="4"/>
        <v>21034619.536511514</v>
      </c>
      <c r="AE98" s="116">
        <f t="shared" si="4"/>
        <v>16339701.749051163</v>
      </c>
      <c r="AF98" s="116">
        <f t="shared" si="4"/>
        <v>46999496.373753048</v>
      </c>
      <c r="AG98" s="116">
        <f t="shared" si="4"/>
        <v>0</v>
      </c>
      <c r="AH98" s="116">
        <f t="shared" si="4"/>
        <v>0</v>
      </c>
      <c r="AI98" s="116">
        <f t="shared" si="4"/>
        <v>0</v>
      </c>
      <c r="AJ98" s="116">
        <f t="shared" si="4"/>
        <v>0</v>
      </c>
      <c r="AK98" s="116">
        <f t="shared" si="4"/>
        <v>0</v>
      </c>
      <c r="AL98" s="116">
        <f t="shared" si="4"/>
        <v>0</v>
      </c>
      <c r="AM98" s="116">
        <f t="shared" si="4"/>
        <v>0</v>
      </c>
      <c r="AN98" s="116">
        <f t="shared" si="4"/>
        <v>356071.38648387103</v>
      </c>
      <c r="AO98" s="116">
        <f t="shared" si="4"/>
        <v>0</v>
      </c>
    </row>
    <row r="99" spans="5:41" x14ac:dyDescent="0.35">
      <c r="E99" s="23"/>
      <c r="F99" t="s">
        <v>160</v>
      </c>
      <c r="G99" s="12" t="s">
        <v>277</v>
      </c>
      <c r="H99" s="88">
        <f t="shared" si="0"/>
        <v>100522902.71322998</v>
      </c>
      <c r="J99" s="88">
        <f t="shared" ref="J99:AO99" si="5" xml:space="preserve"> J26 * J59 * days_in_year / hundred</f>
        <v>0</v>
      </c>
      <c r="K99" s="88">
        <f t="shared" si="5"/>
        <v>0</v>
      </c>
      <c r="L99" s="88">
        <f t="shared" si="5"/>
        <v>0</v>
      </c>
      <c r="M99" s="88">
        <f t="shared" si="5"/>
        <v>0</v>
      </c>
      <c r="N99" s="88">
        <f t="shared" si="5"/>
        <v>0</v>
      </c>
      <c r="O99" s="88">
        <f t="shared" si="5"/>
        <v>0</v>
      </c>
      <c r="P99" s="88">
        <f t="shared" si="5"/>
        <v>0</v>
      </c>
      <c r="Q99" s="88">
        <f t="shared" si="5"/>
        <v>0</v>
      </c>
      <c r="R99" s="88">
        <f t="shared" si="5"/>
        <v>8097.0605763520116</v>
      </c>
      <c r="S99" s="88">
        <f t="shared" si="5"/>
        <v>9581496.7462185081</v>
      </c>
      <c r="T99" s="88">
        <f t="shared" si="5"/>
        <v>9413561.8967097308</v>
      </c>
      <c r="U99" s="88">
        <f t="shared" si="5"/>
        <v>7588559.850714446</v>
      </c>
      <c r="V99" s="88">
        <f t="shared" si="5"/>
        <v>24925145.627672505</v>
      </c>
      <c r="W99" s="88">
        <f t="shared" si="5"/>
        <v>0</v>
      </c>
      <c r="X99" s="88">
        <f t="shared" si="5"/>
        <v>9203.3235413875991</v>
      </c>
      <c r="Y99" s="88">
        <f t="shared" si="5"/>
        <v>120038.41172782084</v>
      </c>
      <c r="Z99" s="88">
        <f t="shared" si="5"/>
        <v>183814.04401548079</v>
      </c>
      <c r="AA99" s="88">
        <f t="shared" si="5"/>
        <v>2291819.1024545301</v>
      </c>
      <c r="AB99" s="88">
        <f t="shared" si="5"/>
        <v>46010.523488530445</v>
      </c>
      <c r="AC99" s="88">
        <f t="shared" si="5"/>
        <v>2833081.9286222542</v>
      </c>
      <c r="AD99" s="88">
        <f t="shared" si="5"/>
        <v>10665569.238577383</v>
      </c>
      <c r="AE99" s="88">
        <f t="shared" si="5"/>
        <v>8432973.166979678</v>
      </c>
      <c r="AF99" s="88">
        <f t="shared" si="5"/>
        <v>24423531.791931368</v>
      </c>
      <c r="AG99" s="88">
        <f t="shared" si="5"/>
        <v>0</v>
      </c>
      <c r="AH99" s="88">
        <f t="shared" si="5"/>
        <v>0</v>
      </c>
      <c r="AI99" s="88">
        <f t="shared" si="5"/>
        <v>0</v>
      </c>
      <c r="AJ99" s="88">
        <f t="shared" si="5"/>
        <v>0</v>
      </c>
      <c r="AK99" s="88">
        <f t="shared" si="5"/>
        <v>0</v>
      </c>
      <c r="AL99" s="88">
        <f t="shared" si="5"/>
        <v>0</v>
      </c>
      <c r="AM99" s="88">
        <f t="shared" si="5"/>
        <v>0</v>
      </c>
      <c r="AN99" s="88">
        <f t="shared" si="5"/>
        <v>0</v>
      </c>
      <c r="AO99" s="88">
        <f t="shared" si="5"/>
        <v>0</v>
      </c>
    </row>
    <row r="100" spans="5:41" x14ac:dyDescent="0.35">
      <c r="E100" s="23"/>
      <c r="F100" t="s">
        <v>161</v>
      </c>
      <c r="G100" s="12" t="s">
        <v>277</v>
      </c>
      <c r="H100" s="88">
        <f t="shared" si="0"/>
        <v>2631190.5103564351</v>
      </c>
      <c r="J100" s="88">
        <f t="shared" ref="J100:AO100" si="6" xml:space="preserve"> J27 * J60 * days_in_year / hundred</f>
        <v>0</v>
      </c>
      <c r="K100" s="88">
        <f t="shared" si="6"/>
        <v>0</v>
      </c>
      <c r="L100" s="88">
        <f t="shared" si="6"/>
        <v>0</v>
      </c>
      <c r="M100" s="88">
        <f t="shared" si="6"/>
        <v>0</v>
      </c>
      <c r="N100" s="88">
        <f t="shared" si="6"/>
        <v>0</v>
      </c>
      <c r="O100" s="88">
        <f t="shared" si="6"/>
        <v>0</v>
      </c>
      <c r="P100" s="88">
        <f t="shared" si="6"/>
        <v>0</v>
      </c>
      <c r="Q100" s="88">
        <f t="shared" si="6"/>
        <v>0</v>
      </c>
      <c r="R100" s="88">
        <f t="shared" si="6"/>
        <v>231.33675580297782</v>
      </c>
      <c r="S100" s="88">
        <f t="shared" si="6"/>
        <v>273747.78193960438</v>
      </c>
      <c r="T100" s="88">
        <f t="shared" si="6"/>
        <v>268949.80582156905</v>
      </c>
      <c r="U100" s="88">
        <f t="shared" si="6"/>
        <v>216808.65550247926</v>
      </c>
      <c r="V100" s="88">
        <f t="shared" si="6"/>
        <v>712122.90843702096</v>
      </c>
      <c r="W100" s="88">
        <f t="shared" si="6"/>
        <v>0</v>
      </c>
      <c r="X100" s="88">
        <f t="shared" si="6"/>
        <v>62.332049971756653</v>
      </c>
      <c r="Y100" s="88">
        <f t="shared" si="6"/>
        <v>812.99328929391561</v>
      </c>
      <c r="Z100" s="88">
        <f t="shared" si="6"/>
        <v>1244.931369147125</v>
      </c>
      <c r="AA100" s="88">
        <f t="shared" si="6"/>
        <v>15521.977704902463</v>
      </c>
      <c r="AB100" s="88">
        <f t="shared" si="6"/>
        <v>1132.0761212622722</v>
      </c>
      <c r="AC100" s="88">
        <f t="shared" si="6"/>
        <v>69707.192133391596</v>
      </c>
      <c r="AD100" s="88">
        <f t="shared" si="6"/>
        <v>262423.36185704923</v>
      </c>
      <c r="AE100" s="88">
        <f t="shared" si="6"/>
        <v>207490.95706252949</v>
      </c>
      <c r="AF100" s="88">
        <f t="shared" si="6"/>
        <v>600934.20031241106</v>
      </c>
      <c r="AG100" s="88">
        <f t="shared" si="6"/>
        <v>0</v>
      </c>
      <c r="AH100" s="88">
        <f t="shared" si="6"/>
        <v>0</v>
      </c>
      <c r="AI100" s="88">
        <f t="shared" si="6"/>
        <v>0</v>
      </c>
      <c r="AJ100" s="88">
        <f t="shared" si="6"/>
        <v>0</v>
      </c>
      <c r="AK100" s="88">
        <f t="shared" si="6"/>
        <v>0</v>
      </c>
      <c r="AL100" s="88">
        <f t="shared" si="6"/>
        <v>0</v>
      </c>
      <c r="AM100" s="88">
        <f t="shared" si="6"/>
        <v>0</v>
      </c>
      <c r="AN100" s="88">
        <f t="shared" si="6"/>
        <v>0</v>
      </c>
      <c r="AO100" s="88">
        <f t="shared" si="6"/>
        <v>0</v>
      </c>
    </row>
    <row r="101" spans="5:41" x14ac:dyDescent="0.35">
      <c r="E101" s="23"/>
      <c r="F101" s="19" t="s">
        <v>162</v>
      </c>
      <c r="G101" s="75" t="s">
        <v>277</v>
      </c>
      <c r="H101" s="116">
        <f t="shared" si="0"/>
        <v>1323602.0970017714</v>
      </c>
      <c r="I101" s="19"/>
      <c r="J101" s="116">
        <f t="shared" ref="J101:AO101" si="7">J28 * thousand * J61 / hundred</f>
        <v>0</v>
      </c>
      <c r="K101" s="116">
        <f t="shared" si="7"/>
        <v>0</v>
      </c>
      <c r="L101" s="116">
        <f t="shared" si="7"/>
        <v>0</v>
      </c>
      <c r="M101" s="116">
        <f t="shared" si="7"/>
        <v>0</v>
      </c>
      <c r="N101" s="116">
        <f t="shared" si="7"/>
        <v>0</v>
      </c>
      <c r="O101" s="116">
        <f t="shared" si="7"/>
        <v>0</v>
      </c>
      <c r="P101" s="116">
        <f t="shared" si="7"/>
        <v>0</v>
      </c>
      <c r="Q101" s="116">
        <f t="shared" si="7"/>
        <v>0</v>
      </c>
      <c r="R101" s="116">
        <f t="shared" si="7"/>
        <v>144.53989672308157</v>
      </c>
      <c r="S101" s="116">
        <f t="shared" si="7"/>
        <v>171038.43266230219</v>
      </c>
      <c r="T101" s="116">
        <f t="shared" si="7"/>
        <v>168040.64283779508</v>
      </c>
      <c r="U101" s="116">
        <f t="shared" si="7"/>
        <v>135462.69621627996</v>
      </c>
      <c r="V101" s="116">
        <f t="shared" si="7"/>
        <v>444936.52244042791</v>
      </c>
      <c r="W101" s="116">
        <f t="shared" si="7"/>
        <v>0</v>
      </c>
      <c r="X101" s="116">
        <f t="shared" si="7"/>
        <v>110.05793310010569</v>
      </c>
      <c r="Y101" s="116">
        <f t="shared" si="7"/>
        <v>1435.4791970501108</v>
      </c>
      <c r="Z101" s="116">
        <f t="shared" si="7"/>
        <v>2198.1400162821546</v>
      </c>
      <c r="AA101" s="116">
        <f t="shared" si="7"/>
        <v>27406.715880538901</v>
      </c>
      <c r="AB101" s="116">
        <f t="shared" si="7"/>
        <v>285.57393227816578</v>
      </c>
      <c r="AC101" s="116">
        <f t="shared" si="7"/>
        <v>17584.115230172261</v>
      </c>
      <c r="AD101" s="116">
        <f t="shared" si="7"/>
        <v>66198.085057755277</v>
      </c>
      <c r="AE101" s="116">
        <f t="shared" si="7"/>
        <v>52341.010827468031</v>
      </c>
      <c r="AF101" s="116">
        <f t="shared" si="7"/>
        <v>151589.75567146725</v>
      </c>
      <c r="AG101" s="116">
        <f t="shared" si="7"/>
        <v>0</v>
      </c>
      <c r="AH101" s="116">
        <f t="shared" si="7"/>
        <v>0</v>
      </c>
      <c r="AI101" s="116">
        <f t="shared" si="7"/>
        <v>0</v>
      </c>
      <c r="AJ101" s="116">
        <f t="shared" si="7"/>
        <v>17142.638020754071</v>
      </c>
      <c r="AK101" s="116">
        <f t="shared" si="7"/>
        <v>0</v>
      </c>
      <c r="AL101" s="116">
        <f t="shared" si="7"/>
        <v>0</v>
      </c>
      <c r="AM101" s="116">
        <f t="shared" si="7"/>
        <v>0</v>
      </c>
      <c r="AN101" s="116">
        <f t="shared" si="7"/>
        <v>67687.691181376736</v>
      </c>
      <c r="AO101" s="116">
        <f t="shared" si="7"/>
        <v>0</v>
      </c>
    </row>
    <row r="102" spans="5:41" x14ac:dyDescent="0.35">
      <c r="E102" s="23"/>
      <c r="F102" s="98" t="s">
        <v>100</v>
      </c>
      <c r="G102" s="204" t="s">
        <v>277</v>
      </c>
      <c r="H102" s="143">
        <f>SUM(H95:H101)</f>
        <v>970859280.12407649</v>
      </c>
      <c r="I102" s="44"/>
      <c r="J102" s="143">
        <f t="shared" ref="J102" si="8">SUM(J95:J101)</f>
        <v>445850754.71450555</v>
      </c>
      <c r="K102" s="143">
        <f t="shared" ref="K102:AO102" si="9">SUM(K95:K101)</f>
        <v>522975.17252394836</v>
      </c>
      <c r="L102" s="143">
        <f t="shared" si="9"/>
        <v>3715.930147196641</v>
      </c>
      <c r="M102" s="143">
        <f t="shared" si="9"/>
        <v>13309654.604052529</v>
      </c>
      <c r="N102" s="143">
        <f t="shared" si="9"/>
        <v>23311329.943333298</v>
      </c>
      <c r="O102" s="143">
        <f t="shared" si="9"/>
        <v>25120264.864534657</v>
      </c>
      <c r="P102" s="143">
        <f t="shared" si="9"/>
        <v>66166271.49855531</v>
      </c>
      <c r="Q102" s="143">
        <f t="shared" si="9"/>
        <v>152223.86899125454</v>
      </c>
      <c r="R102" s="143">
        <f t="shared" si="9"/>
        <v>18314.114711426722</v>
      </c>
      <c r="S102" s="143">
        <f t="shared" si="9"/>
        <v>42163038.699800424</v>
      </c>
      <c r="T102" s="143">
        <f t="shared" si="9"/>
        <v>40690886.299885146</v>
      </c>
      <c r="U102" s="143">
        <f t="shared" si="9"/>
        <v>32617173.535988841</v>
      </c>
      <c r="V102" s="143">
        <f t="shared" si="9"/>
        <v>109219216.09904407</v>
      </c>
      <c r="W102" s="143">
        <f t="shared" si="9"/>
        <v>0</v>
      </c>
      <c r="X102" s="143">
        <f t="shared" si="9"/>
        <v>27163.836912211387</v>
      </c>
      <c r="Y102" s="143">
        <f t="shared" si="9"/>
        <v>366903.09295603313</v>
      </c>
      <c r="Z102" s="143">
        <f t="shared" si="9"/>
        <v>628336.05309948686</v>
      </c>
      <c r="AA102" s="143">
        <f t="shared" si="9"/>
        <v>6903623.1497513726</v>
      </c>
      <c r="AB102" s="143">
        <f t="shared" si="9"/>
        <v>126896.86740453001</v>
      </c>
      <c r="AC102" s="143">
        <f t="shared" si="9"/>
        <v>9917984.6820933428</v>
      </c>
      <c r="AD102" s="143">
        <f t="shared" si="9"/>
        <v>36393876.204868443</v>
      </c>
      <c r="AE102" s="143">
        <f t="shared" si="9"/>
        <v>28483844.874625597</v>
      </c>
      <c r="AF102" s="143">
        <f t="shared" si="9"/>
        <v>82171298.754746765</v>
      </c>
      <c r="AG102" s="143">
        <f t="shared" si="9"/>
        <v>12327112.543318976</v>
      </c>
      <c r="AH102" s="143">
        <f t="shared" si="9"/>
        <v>-124511.76539999997</v>
      </c>
      <c r="AI102" s="143">
        <f t="shared" si="9"/>
        <v>-2247.9997400000002</v>
      </c>
      <c r="AJ102" s="143">
        <f t="shared" si="9"/>
        <v>-453317.67357124586</v>
      </c>
      <c r="AK102" s="143">
        <f t="shared" si="9"/>
        <v>0</v>
      </c>
      <c r="AL102" s="143">
        <f t="shared" si="9"/>
        <v>0</v>
      </c>
      <c r="AM102" s="143">
        <f t="shared" si="9"/>
        <v>0</v>
      </c>
      <c r="AN102" s="143">
        <f t="shared" si="9"/>
        <v>-5053501.8430627519</v>
      </c>
      <c r="AO102" s="143">
        <f t="shared" si="9"/>
        <v>0</v>
      </c>
    </row>
    <row r="103" spans="5:41" x14ac:dyDescent="0.35">
      <c r="E103" s="23"/>
      <c r="G103" s="12"/>
      <c r="H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row>
    <row r="104" spans="5:41" x14ac:dyDescent="0.35">
      <c r="E104" s="27" t="s">
        <v>764</v>
      </c>
      <c r="G104" s="12"/>
      <c r="H104" s="203" t="s">
        <v>544</v>
      </c>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row>
    <row r="105" spans="5:41" x14ac:dyDescent="0.35">
      <c r="E105" s="23"/>
      <c r="F105" s="19" t="s">
        <v>156</v>
      </c>
      <c r="G105" s="75" t="s">
        <v>277</v>
      </c>
      <c r="H105" s="116">
        <f t="shared" ref="H105:H111" si="10">SUM(J105:AO105)</f>
        <v>562932.63909282512</v>
      </c>
      <c r="I105" s="19"/>
      <c r="J105" s="116">
        <f t="shared" ref="J105:AO105" si="11">J33 * thousand * J64 / hundred</f>
        <v>450777.68050305033</v>
      </c>
      <c r="K105" s="116">
        <f t="shared" si="11"/>
        <v>0</v>
      </c>
      <c r="L105" s="116">
        <f t="shared" si="11"/>
        <v>24.447531881291571</v>
      </c>
      <c r="M105" s="116">
        <f t="shared" si="11"/>
        <v>16463.635216935461</v>
      </c>
      <c r="N105" s="116">
        <f t="shared" si="11"/>
        <v>5861.3367878884474</v>
      </c>
      <c r="O105" s="116">
        <f t="shared" si="11"/>
        <v>10674.711252784882</v>
      </c>
      <c r="P105" s="116">
        <f t="shared" si="11"/>
        <v>11467.150379022094</v>
      </c>
      <c r="Q105" s="116">
        <f t="shared" si="11"/>
        <v>767.00532721349896</v>
      </c>
      <c r="R105" s="116">
        <f t="shared" si="11"/>
        <v>0</v>
      </c>
      <c r="S105" s="116">
        <f t="shared" si="11"/>
        <v>6443.9580064110996</v>
      </c>
      <c r="T105" s="116">
        <f t="shared" si="11"/>
        <v>17081.666396025928</v>
      </c>
      <c r="U105" s="116">
        <f t="shared" si="11"/>
        <v>28763.16622970342</v>
      </c>
      <c r="V105" s="116">
        <f t="shared" si="11"/>
        <v>15940.390583645654</v>
      </c>
      <c r="W105" s="116">
        <f t="shared" si="11"/>
        <v>0</v>
      </c>
      <c r="X105" s="116">
        <f t="shared" si="11"/>
        <v>0</v>
      </c>
      <c r="Y105" s="116">
        <f t="shared" si="11"/>
        <v>0</v>
      </c>
      <c r="Z105" s="116">
        <f t="shared" si="11"/>
        <v>0</v>
      </c>
      <c r="AA105" s="116">
        <f t="shared" si="11"/>
        <v>0</v>
      </c>
      <c r="AB105" s="116">
        <f t="shared" si="11"/>
        <v>0</v>
      </c>
      <c r="AC105" s="116">
        <f t="shared" si="11"/>
        <v>0</v>
      </c>
      <c r="AD105" s="116">
        <f t="shared" si="11"/>
        <v>0</v>
      </c>
      <c r="AE105" s="116">
        <f t="shared" si="11"/>
        <v>0</v>
      </c>
      <c r="AF105" s="116">
        <f t="shared" si="11"/>
        <v>0</v>
      </c>
      <c r="AG105" s="116">
        <f t="shared" si="11"/>
        <v>916.13144826301971</v>
      </c>
      <c r="AH105" s="116">
        <f t="shared" si="11"/>
        <v>-1885.5185200000001</v>
      </c>
      <c r="AI105" s="116">
        <f t="shared" si="11"/>
        <v>0</v>
      </c>
      <c r="AJ105" s="116">
        <f t="shared" si="11"/>
        <v>-363.12204999999994</v>
      </c>
      <c r="AK105" s="116">
        <f t="shared" si="11"/>
        <v>0</v>
      </c>
      <c r="AL105" s="116">
        <f t="shared" si="11"/>
        <v>0</v>
      </c>
      <c r="AM105" s="116">
        <f t="shared" si="11"/>
        <v>0</v>
      </c>
      <c r="AN105" s="116">
        <f t="shared" si="11"/>
        <v>0</v>
      </c>
      <c r="AO105" s="116">
        <f t="shared" si="11"/>
        <v>0</v>
      </c>
    </row>
    <row r="106" spans="5:41" x14ac:dyDescent="0.35">
      <c r="E106" s="23"/>
      <c r="F106" t="s">
        <v>157</v>
      </c>
      <c r="G106" s="12" t="s">
        <v>277</v>
      </c>
      <c r="H106" s="88">
        <f t="shared" si="10"/>
        <v>330735.11662411806</v>
      </c>
      <c r="J106" s="88">
        <f t="shared" ref="J106:AO106" si="12">J34 * thousand * J65 / hundred</f>
        <v>251403.40060128027</v>
      </c>
      <c r="K106" s="88">
        <f t="shared" si="12"/>
        <v>0</v>
      </c>
      <c r="L106" s="88">
        <f t="shared" si="12"/>
        <v>19.523080542802916</v>
      </c>
      <c r="M106" s="88">
        <f t="shared" si="12"/>
        <v>13147.375282227336</v>
      </c>
      <c r="N106" s="88">
        <f t="shared" si="12"/>
        <v>4680.6913169835479</v>
      </c>
      <c r="O106" s="88">
        <f t="shared" si="12"/>
        <v>8524.5107183504315</v>
      </c>
      <c r="P106" s="88">
        <f t="shared" si="12"/>
        <v>9157.3293178687127</v>
      </c>
      <c r="Q106" s="88">
        <f t="shared" si="12"/>
        <v>586.83307325660394</v>
      </c>
      <c r="R106" s="88">
        <f t="shared" si="12"/>
        <v>0</v>
      </c>
      <c r="S106" s="88">
        <f t="shared" si="12"/>
        <v>4179.4520498073343</v>
      </c>
      <c r="T106" s="88">
        <f t="shared" si="12"/>
        <v>11078.906094975739</v>
      </c>
      <c r="U106" s="88">
        <f t="shared" si="12"/>
        <v>18655.347216428443</v>
      </c>
      <c r="V106" s="88">
        <f t="shared" si="12"/>
        <v>10338.692156787023</v>
      </c>
      <c r="W106" s="88">
        <f t="shared" si="12"/>
        <v>0</v>
      </c>
      <c r="X106" s="88">
        <f t="shared" si="12"/>
        <v>0</v>
      </c>
      <c r="Y106" s="88">
        <f t="shared" si="12"/>
        <v>0</v>
      </c>
      <c r="Z106" s="88">
        <f t="shared" si="12"/>
        <v>0</v>
      </c>
      <c r="AA106" s="88">
        <f t="shared" si="12"/>
        <v>0</v>
      </c>
      <c r="AB106" s="88">
        <f t="shared" si="12"/>
        <v>0</v>
      </c>
      <c r="AC106" s="88">
        <f t="shared" si="12"/>
        <v>0</v>
      </c>
      <c r="AD106" s="88">
        <f t="shared" si="12"/>
        <v>0</v>
      </c>
      <c r="AE106" s="88">
        <f t="shared" si="12"/>
        <v>0</v>
      </c>
      <c r="AF106" s="88">
        <f t="shared" si="12"/>
        <v>0</v>
      </c>
      <c r="AG106" s="88">
        <f t="shared" si="12"/>
        <v>1436.1577956098397</v>
      </c>
      <c r="AH106" s="88">
        <f t="shared" si="12"/>
        <v>-1945.10682</v>
      </c>
      <c r="AI106" s="88">
        <f t="shared" si="12"/>
        <v>0</v>
      </c>
      <c r="AJ106" s="88">
        <f t="shared" si="12"/>
        <v>-527.99526000000003</v>
      </c>
      <c r="AK106" s="88">
        <f t="shared" si="12"/>
        <v>0</v>
      </c>
      <c r="AL106" s="88">
        <f t="shared" si="12"/>
        <v>0</v>
      </c>
      <c r="AM106" s="88">
        <f t="shared" si="12"/>
        <v>0</v>
      </c>
      <c r="AN106" s="88">
        <f t="shared" si="12"/>
        <v>0</v>
      </c>
      <c r="AO106" s="88">
        <f t="shared" si="12"/>
        <v>0</v>
      </c>
    </row>
    <row r="107" spans="5:41" x14ac:dyDescent="0.35">
      <c r="E107" s="23"/>
      <c r="F107" t="s">
        <v>158</v>
      </c>
      <c r="G107" s="12" t="s">
        <v>277</v>
      </c>
      <c r="H107" s="88">
        <f t="shared" si="10"/>
        <v>8960.4164490254461</v>
      </c>
      <c r="J107" s="88">
        <f t="shared" ref="J107:AO107" si="13">J35 * thousand * J66 / hundred</f>
        <v>5972.6053516603224</v>
      </c>
      <c r="K107" s="88">
        <f t="shared" si="13"/>
        <v>0</v>
      </c>
      <c r="L107" s="88">
        <f t="shared" si="13"/>
        <v>0.44379381837633375</v>
      </c>
      <c r="M107" s="88">
        <f t="shared" si="13"/>
        <v>298.86286978810006</v>
      </c>
      <c r="N107" s="88">
        <f t="shared" si="13"/>
        <v>106.40031257622663</v>
      </c>
      <c r="O107" s="88">
        <f t="shared" si="13"/>
        <v>193.77706060232131</v>
      </c>
      <c r="P107" s="88">
        <f t="shared" si="13"/>
        <v>208.16213584718651</v>
      </c>
      <c r="Q107" s="88">
        <f t="shared" si="13"/>
        <v>12.957663004445676</v>
      </c>
      <c r="R107" s="88">
        <f t="shared" si="13"/>
        <v>0</v>
      </c>
      <c r="S107" s="88">
        <f t="shared" si="13"/>
        <v>111.74753880103307</v>
      </c>
      <c r="T107" s="88">
        <f t="shared" si="13"/>
        <v>296.22076625532156</v>
      </c>
      <c r="U107" s="88">
        <f t="shared" si="13"/>
        <v>498.7948448913732</v>
      </c>
      <c r="V107" s="88">
        <f t="shared" si="13"/>
        <v>276.42939533084308</v>
      </c>
      <c r="W107" s="88">
        <f t="shared" si="13"/>
        <v>0</v>
      </c>
      <c r="X107" s="88">
        <f t="shared" si="13"/>
        <v>0</v>
      </c>
      <c r="Y107" s="88">
        <f t="shared" si="13"/>
        <v>0</v>
      </c>
      <c r="Z107" s="88">
        <f t="shared" si="13"/>
        <v>0</v>
      </c>
      <c r="AA107" s="88">
        <f t="shared" si="13"/>
        <v>0</v>
      </c>
      <c r="AB107" s="88">
        <f t="shared" si="13"/>
        <v>0</v>
      </c>
      <c r="AC107" s="88">
        <f t="shared" si="13"/>
        <v>0</v>
      </c>
      <c r="AD107" s="88">
        <f t="shared" si="13"/>
        <v>0</v>
      </c>
      <c r="AE107" s="88">
        <f t="shared" si="13"/>
        <v>0</v>
      </c>
      <c r="AF107" s="88">
        <f t="shared" si="13"/>
        <v>0</v>
      </c>
      <c r="AG107" s="88">
        <f t="shared" si="13"/>
        <v>993.77471644989521</v>
      </c>
      <c r="AH107" s="88">
        <f t="shared" si="13"/>
        <v>-8.6776000000000018</v>
      </c>
      <c r="AI107" s="88">
        <f t="shared" si="13"/>
        <v>0</v>
      </c>
      <c r="AJ107" s="88">
        <f t="shared" si="13"/>
        <v>-1.0823999999999996</v>
      </c>
      <c r="AK107" s="88">
        <f t="shared" si="13"/>
        <v>0</v>
      </c>
      <c r="AL107" s="88">
        <f t="shared" si="13"/>
        <v>0</v>
      </c>
      <c r="AM107" s="88">
        <f t="shared" si="13"/>
        <v>0</v>
      </c>
      <c r="AN107" s="88">
        <f t="shared" si="13"/>
        <v>0</v>
      </c>
      <c r="AO107" s="88">
        <f t="shared" si="13"/>
        <v>0</v>
      </c>
    </row>
    <row r="108" spans="5:41" x14ac:dyDescent="0.35">
      <c r="E108" s="23"/>
      <c r="F108" s="19" t="s">
        <v>159</v>
      </c>
      <c r="G108" s="75" t="s">
        <v>277</v>
      </c>
      <c r="H108" s="116">
        <f t="shared" si="10"/>
        <v>3076721.4432755685</v>
      </c>
      <c r="I108" s="19"/>
      <c r="J108" s="116">
        <f t="shared" ref="J108:AO108" si="14" xml:space="preserve"> J36 * J67 * days_in_year / hundred</f>
        <v>2110798.4283983703</v>
      </c>
      <c r="K108" s="116">
        <f t="shared" si="14"/>
        <v>0</v>
      </c>
      <c r="L108" s="116">
        <f t="shared" si="14"/>
        <v>27.945565603081523</v>
      </c>
      <c r="M108" s="116">
        <f t="shared" si="14"/>
        <v>33964.357794214833</v>
      </c>
      <c r="N108" s="116">
        <f t="shared" si="14"/>
        <v>23532.384817048638</v>
      </c>
      <c r="O108" s="116">
        <f t="shared" si="14"/>
        <v>58545.939294107913</v>
      </c>
      <c r="P108" s="116">
        <f t="shared" si="14"/>
        <v>55716.94933779761</v>
      </c>
      <c r="Q108" s="116">
        <f t="shared" si="14"/>
        <v>0</v>
      </c>
      <c r="R108" s="116">
        <f t="shared" si="14"/>
        <v>0</v>
      </c>
      <c r="S108" s="116">
        <f t="shared" si="14"/>
        <v>39156.927284901889</v>
      </c>
      <c r="T108" s="116">
        <f t="shared" si="14"/>
        <v>176516.94841029029</v>
      </c>
      <c r="U108" s="116">
        <f t="shared" si="14"/>
        <v>280015.92336267972</v>
      </c>
      <c r="V108" s="116">
        <f t="shared" si="14"/>
        <v>298445.63901055418</v>
      </c>
      <c r="W108" s="116">
        <f t="shared" si="14"/>
        <v>0</v>
      </c>
      <c r="X108" s="116">
        <f t="shared" si="14"/>
        <v>0</v>
      </c>
      <c r="Y108" s="116">
        <f t="shared" si="14"/>
        <v>0</v>
      </c>
      <c r="Z108" s="116">
        <f t="shared" si="14"/>
        <v>0</v>
      </c>
      <c r="AA108" s="116">
        <f t="shared" si="14"/>
        <v>0</v>
      </c>
      <c r="AB108" s="116">
        <f t="shared" si="14"/>
        <v>0</v>
      </c>
      <c r="AC108" s="116">
        <f t="shared" si="14"/>
        <v>0</v>
      </c>
      <c r="AD108" s="116">
        <f t="shared" si="14"/>
        <v>0</v>
      </c>
      <c r="AE108" s="116">
        <f t="shared" si="14"/>
        <v>0</v>
      </c>
      <c r="AF108" s="116">
        <f t="shared" si="14"/>
        <v>0</v>
      </c>
      <c r="AG108" s="116">
        <f t="shared" si="14"/>
        <v>0</v>
      </c>
      <c r="AH108" s="116">
        <f t="shared" si="14"/>
        <v>0</v>
      </c>
      <c r="AI108" s="116">
        <f t="shared" si="14"/>
        <v>0</v>
      </c>
      <c r="AJ108" s="116">
        <f t="shared" si="14"/>
        <v>0</v>
      </c>
      <c r="AK108" s="116">
        <f t="shared" si="14"/>
        <v>0</v>
      </c>
      <c r="AL108" s="116">
        <f t="shared" si="14"/>
        <v>0</v>
      </c>
      <c r="AM108" s="116">
        <f t="shared" si="14"/>
        <v>0</v>
      </c>
      <c r="AN108" s="116">
        <f t="shared" si="14"/>
        <v>0</v>
      </c>
      <c r="AO108" s="116">
        <f t="shared" si="14"/>
        <v>0</v>
      </c>
    </row>
    <row r="109" spans="5:41" x14ac:dyDescent="0.35">
      <c r="E109" s="23"/>
      <c r="F109" t="s">
        <v>160</v>
      </c>
      <c r="G109" s="12" t="s">
        <v>277</v>
      </c>
      <c r="H109" s="88">
        <f t="shared" si="10"/>
        <v>330742.36687623675</v>
      </c>
      <c r="J109" s="88">
        <f t="shared" ref="J109:AO109" si="15" xml:space="preserve"> J37 * J68 * days_in_year / hundred</f>
        <v>0</v>
      </c>
      <c r="K109" s="88">
        <f t="shared" si="15"/>
        <v>0</v>
      </c>
      <c r="L109" s="88">
        <f t="shared" si="15"/>
        <v>0</v>
      </c>
      <c r="M109" s="88">
        <f t="shared" si="15"/>
        <v>0</v>
      </c>
      <c r="N109" s="88">
        <f t="shared" si="15"/>
        <v>0</v>
      </c>
      <c r="O109" s="88">
        <f t="shared" si="15"/>
        <v>0</v>
      </c>
      <c r="P109" s="88">
        <f t="shared" si="15"/>
        <v>0</v>
      </c>
      <c r="Q109" s="88">
        <f t="shared" si="15"/>
        <v>0</v>
      </c>
      <c r="R109" s="88">
        <f t="shared" si="15"/>
        <v>0</v>
      </c>
      <c r="S109" s="88">
        <f t="shared" si="15"/>
        <v>31237.219692713654</v>
      </c>
      <c r="T109" s="88">
        <f t="shared" si="15"/>
        <v>82803.731091891561</v>
      </c>
      <c r="U109" s="88">
        <f t="shared" si="15"/>
        <v>139430.04310105502</v>
      </c>
      <c r="V109" s="88">
        <f t="shared" si="15"/>
        <v>77271.372990576463</v>
      </c>
      <c r="W109" s="88">
        <f t="shared" si="15"/>
        <v>0</v>
      </c>
      <c r="X109" s="88">
        <f t="shared" si="15"/>
        <v>0</v>
      </c>
      <c r="Y109" s="88">
        <f t="shared" si="15"/>
        <v>0</v>
      </c>
      <c r="Z109" s="88">
        <f t="shared" si="15"/>
        <v>0</v>
      </c>
      <c r="AA109" s="88">
        <f t="shared" si="15"/>
        <v>0</v>
      </c>
      <c r="AB109" s="88">
        <f t="shared" si="15"/>
        <v>0</v>
      </c>
      <c r="AC109" s="88">
        <f t="shared" si="15"/>
        <v>0</v>
      </c>
      <c r="AD109" s="88">
        <f t="shared" si="15"/>
        <v>0</v>
      </c>
      <c r="AE109" s="88">
        <f t="shared" si="15"/>
        <v>0</v>
      </c>
      <c r="AF109" s="88">
        <f t="shared" si="15"/>
        <v>0</v>
      </c>
      <c r="AG109" s="88">
        <f t="shared" si="15"/>
        <v>0</v>
      </c>
      <c r="AH109" s="88">
        <f t="shared" si="15"/>
        <v>0</v>
      </c>
      <c r="AI109" s="88">
        <f t="shared" si="15"/>
        <v>0</v>
      </c>
      <c r="AJ109" s="88">
        <f t="shared" si="15"/>
        <v>0</v>
      </c>
      <c r="AK109" s="88">
        <f t="shared" si="15"/>
        <v>0</v>
      </c>
      <c r="AL109" s="88">
        <f t="shared" si="15"/>
        <v>0</v>
      </c>
      <c r="AM109" s="88">
        <f t="shared" si="15"/>
        <v>0</v>
      </c>
      <c r="AN109" s="88">
        <f t="shared" si="15"/>
        <v>0</v>
      </c>
      <c r="AO109" s="88">
        <f t="shared" si="15"/>
        <v>0</v>
      </c>
    </row>
    <row r="110" spans="5:41" x14ac:dyDescent="0.35">
      <c r="E110" s="23"/>
      <c r="F110" t="s">
        <v>161</v>
      </c>
      <c r="G110" s="12" t="s">
        <v>277</v>
      </c>
      <c r="H110" s="88">
        <f t="shared" si="10"/>
        <v>1253.8592076187335</v>
      </c>
      <c r="J110" s="88">
        <f t="shared" ref="J110:AO110" si="16" xml:space="preserve"> J38 * J69 * days_in_year / hundred</f>
        <v>0</v>
      </c>
      <c r="K110" s="88">
        <f t="shared" si="16"/>
        <v>0</v>
      </c>
      <c r="L110" s="88">
        <f t="shared" si="16"/>
        <v>0</v>
      </c>
      <c r="M110" s="88">
        <f t="shared" si="16"/>
        <v>0</v>
      </c>
      <c r="N110" s="88">
        <f t="shared" si="16"/>
        <v>0</v>
      </c>
      <c r="O110" s="88">
        <f t="shared" si="16"/>
        <v>0</v>
      </c>
      <c r="P110" s="88">
        <f t="shared" si="16"/>
        <v>0</v>
      </c>
      <c r="Q110" s="88">
        <f t="shared" si="16"/>
        <v>0</v>
      </c>
      <c r="R110" s="88">
        <f t="shared" si="16"/>
        <v>0</v>
      </c>
      <c r="S110" s="88">
        <f t="shared" si="16"/>
        <v>118.42170660517317</v>
      </c>
      <c r="T110" s="88">
        <f t="shared" si="16"/>
        <v>313.91267358742914</v>
      </c>
      <c r="U110" s="88">
        <f t="shared" si="16"/>
        <v>528.58557254733023</v>
      </c>
      <c r="V110" s="88">
        <f t="shared" si="16"/>
        <v>292.93925487880091</v>
      </c>
      <c r="W110" s="88">
        <f t="shared" si="16"/>
        <v>0</v>
      </c>
      <c r="X110" s="88">
        <f t="shared" si="16"/>
        <v>0</v>
      </c>
      <c r="Y110" s="88">
        <f t="shared" si="16"/>
        <v>0</v>
      </c>
      <c r="Z110" s="88">
        <f t="shared" si="16"/>
        <v>0</v>
      </c>
      <c r="AA110" s="88">
        <f t="shared" si="16"/>
        <v>0</v>
      </c>
      <c r="AB110" s="88">
        <f t="shared" si="16"/>
        <v>0</v>
      </c>
      <c r="AC110" s="88">
        <f t="shared" si="16"/>
        <v>0</v>
      </c>
      <c r="AD110" s="88">
        <f t="shared" si="16"/>
        <v>0</v>
      </c>
      <c r="AE110" s="88">
        <f t="shared" si="16"/>
        <v>0</v>
      </c>
      <c r="AF110" s="88">
        <f t="shared" si="16"/>
        <v>0</v>
      </c>
      <c r="AG110" s="88">
        <f t="shared" si="16"/>
        <v>0</v>
      </c>
      <c r="AH110" s="88">
        <f t="shared" si="16"/>
        <v>0</v>
      </c>
      <c r="AI110" s="88">
        <f t="shared" si="16"/>
        <v>0</v>
      </c>
      <c r="AJ110" s="88">
        <f t="shared" si="16"/>
        <v>0</v>
      </c>
      <c r="AK110" s="88">
        <f t="shared" si="16"/>
        <v>0</v>
      </c>
      <c r="AL110" s="88">
        <f t="shared" si="16"/>
        <v>0</v>
      </c>
      <c r="AM110" s="88">
        <f t="shared" si="16"/>
        <v>0</v>
      </c>
      <c r="AN110" s="88">
        <f t="shared" si="16"/>
        <v>0</v>
      </c>
      <c r="AO110" s="88">
        <f t="shared" si="16"/>
        <v>0</v>
      </c>
    </row>
    <row r="111" spans="5:41" x14ac:dyDescent="0.35">
      <c r="E111" s="23"/>
      <c r="F111" s="19" t="s">
        <v>162</v>
      </c>
      <c r="G111" s="75" t="s">
        <v>277</v>
      </c>
      <c r="H111" s="116">
        <f t="shared" si="10"/>
        <v>4188.1492647884543</v>
      </c>
      <c r="I111" s="19"/>
      <c r="J111" s="116">
        <f t="shared" ref="J111:AO111" si="17">J39 * thousand * J70 / hundred</f>
        <v>0</v>
      </c>
      <c r="K111" s="116">
        <f t="shared" si="17"/>
        <v>0</v>
      </c>
      <c r="L111" s="116">
        <f t="shared" si="17"/>
        <v>0</v>
      </c>
      <c r="M111" s="116">
        <f t="shared" si="17"/>
        <v>0</v>
      </c>
      <c r="N111" s="116">
        <f t="shared" si="17"/>
        <v>0</v>
      </c>
      <c r="O111" s="116">
        <f t="shared" si="17"/>
        <v>0</v>
      </c>
      <c r="P111" s="116">
        <f t="shared" si="17"/>
        <v>0</v>
      </c>
      <c r="Q111" s="116">
        <f t="shared" si="17"/>
        <v>0</v>
      </c>
      <c r="R111" s="116">
        <f t="shared" si="17"/>
        <v>0</v>
      </c>
      <c r="S111" s="116">
        <f t="shared" si="17"/>
        <v>395.231919242282</v>
      </c>
      <c r="T111" s="116">
        <f t="shared" si="17"/>
        <v>1047.682152310882</v>
      </c>
      <c r="U111" s="116">
        <f t="shared" si="17"/>
        <v>1764.1519980639728</v>
      </c>
      <c r="V111" s="116">
        <f t="shared" si="17"/>
        <v>977.68346062743547</v>
      </c>
      <c r="W111" s="116">
        <f t="shared" si="17"/>
        <v>0</v>
      </c>
      <c r="X111" s="116">
        <f t="shared" si="17"/>
        <v>0</v>
      </c>
      <c r="Y111" s="116">
        <f t="shared" si="17"/>
        <v>0</v>
      </c>
      <c r="Z111" s="116">
        <f t="shared" si="17"/>
        <v>0</v>
      </c>
      <c r="AA111" s="116">
        <f t="shared" si="17"/>
        <v>0</v>
      </c>
      <c r="AB111" s="116">
        <f t="shared" si="17"/>
        <v>0</v>
      </c>
      <c r="AC111" s="116">
        <f t="shared" si="17"/>
        <v>0</v>
      </c>
      <c r="AD111" s="116">
        <f t="shared" si="17"/>
        <v>0</v>
      </c>
      <c r="AE111" s="116">
        <f t="shared" si="17"/>
        <v>0</v>
      </c>
      <c r="AF111" s="116">
        <f t="shared" si="17"/>
        <v>0</v>
      </c>
      <c r="AG111" s="116">
        <f t="shared" si="17"/>
        <v>0</v>
      </c>
      <c r="AH111" s="116">
        <f t="shared" si="17"/>
        <v>0</v>
      </c>
      <c r="AI111" s="116">
        <f t="shared" si="17"/>
        <v>0</v>
      </c>
      <c r="AJ111" s="116">
        <f t="shared" si="17"/>
        <v>3.3997345438824045</v>
      </c>
      <c r="AK111" s="116">
        <f t="shared" si="17"/>
        <v>0</v>
      </c>
      <c r="AL111" s="116">
        <f t="shared" si="17"/>
        <v>0</v>
      </c>
      <c r="AM111" s="116">
        <f t="shared" si="17"/>
        <v>0</v>
      </c>
      <c r="AN111" s="116">
        <f t="shared" si="17"/>
        <v>0</v>
      </c>
      <c r="AO111" s="116">
        <f t="shared" si="17"/>
        <v>0</v>
      </c>
    </row>
    <row r="112" spans="5:41" x14ac:dyDescent="0.35">
      <c r="E112" s="23"/>
      <c r="F112" s="98" t="s">
        <v>100</v>
      </c>
      <c r="G112" s="204" t="s">
        <v>277</v>
      </c>
      <c r="H112" s="143">
        <f>SUM(H105:H111)</f>
        <v>4315533.9907901809</v>
      </c>
      <c r="I112" s="98"/>
      <c r="J112" s="143">
        <f t="shared" ref="J112" si="18">SUM(J105:J111)</f>
        <v>2818952.1148543609</v>
      </c>
      <c r="K112" s="143">
        <f t="shared" ref="K112:AO112" si="19">SUM(K105:K111)</f>
        <v>0</v>
      </c>
      <c r="L112" s="143">
        <f t="shared" si="19"/>
        <v>72.359971845552337</v>
      </c>
      <c r="M112" s="143">
        <f t="shared" si="19"/>
        <v>63874.231163165729</v>
      </c>
      <c r="N112" s="143">
        <f t="shared" si="19"/>
        <v>34180.813234496862</v>
      </c>
      <c r="O112" s="143">
        <f t="shared" si="19"/>
        <v>77938.938325845549</v>
      </c>
      <c r="P112" s="143">
        <f t="shared" si="19"/>
        <v>76549.591170535597</v>
      </c>
      <c r="Q112" s="143">
        <f t="shared" si="19"/>
        <v>1366.7960634745486</v>
      </c>
      <c r="R112" s="143">
        <f t="shared" si="19"/>
        <v>0</v>
      </c>
      <c r="S112" s="143">
        <f t="shared" si="19"/>
        <v>81642.958198482476</v>
      </c>
      <c r="T112" s="143">
        <f t="shared" si="19"/>
        <v>289139.06758533721</v>
      </c>
      <c r="U112" s="143">
        <f t="shared" si="19"/>
        <v>469656.01232536929</v>
      </c>
      <c r="V112" s="143">
        <f t="shared" si="19"/>
        <v>403543.14685240039</v>
      </c>
      <c r="W112" s="143">
        <f t="shared" si="19"/>
        <v>0</v>
      </c>
      <c r="X112" s="143">
        <f t="shared" si="19"/>
        <v>0</v>
      </c>
      <c r="Y112" s="143">
        <f t="shared" si="19"/>
        <v>0</v>
      </c>
      <c r="Z112" s="143">
        <f t="shared" si="19"/>
        <v>0</v>
      </c>
      <c r="AA112" s="143">
        <f t="shared" si="19"/>
        <v>0</v>
      </c>
      <c r="AB112" s="143">
        <f t="shared" si="19"/>
        <v>0</v>
      </c>
      <c r="AC112" s="143">
        <f t="shared" si="19"/>
        <v>0</v>
      </c>
      <c r="AD112" s="143">
        <f t="shared" si="19"/>
        <v>0</v>
      </c>
      <c r="AE112" s="143">
        <f t="shared" si="19"/>
        <v>0</v>
      </c>
      <c r="AF112" s="143">
        <f t="shared" si="19"/>
        <v>0</v>
      </c>
      <c r="AG112" s="143">
        <f t="shared" si="19"/>
        <v>3346.0639603227546</v>
      </c>
      <c r="AH112" s="143">
        <f t="shared" si="19"/>
        <v>-3839.30294</v>
      </c>
      <c r="AI112" s="143">
        <f t="shared" si="19"/>
        <v>0</v>
      </c>
      <c r="AJ112" s="143">
        <f t="shared" si="19"/>
        <v>-888.79997545611752</v>
      </c>
      <c r="AK112" s="143">
        <f t="shared" si="19"/>
        <v>0</v>
      </c>
      <c r="AL112" s="143">
        <f t="shared" si="19"/>
        <v>0</v>
      </c>
      <c r="AM112" s="143">
        <f t="shared" si="19"/>
        <v>0</v>
      </c>
      <c r="AN112" s="143">
        <f t="shared" si="19"/>
        <v>0</v>
      </c>
      <c r="AO112" s="143">
        <f t="shared" si="19"/>
        <v>0</v>
      </c>
    </row>
    <row r="113" spans="3:43" x14ac:dyDescent="0.35">
      <c r="E113" s="23"/>
      <c r="G113" s="12"/>
      <c r="H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row>
    <row r="114" spans="3:43" x14ac:dyDescent="0.35">
      <c r="E114" s="27" t="s">
        <v>765</v>
      </c>
      <c r="G114" s="12"/>
      <c r="H114" s="203" t="s">
        <v>544</v>
      </c>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row>
    <row r="115" spans="3:43" x14ac:dyDescent="0.35">
      <c r="C115" s="78"/>
      <c r="F115" s="19" t="s">
        <v>156</v>
      </c>
      <c r="G115" s="75" t="s">
        <v>277</v>
      </c>
      <c r="H115" s="116">
        <f t="shared" ref="H115:H121" si="20">SUM(J115:AO115)</f>
        <v>1706347.3856663522</v>
      </c>
      <c r="I115" s="19"/>
      <c r="J115" s="116">
        <f t="shared" ref="J115:AO115" si="21">J44 * thousand * J73 / hundred</f>
        <v>1098911.0081060596</v>
      </c>
      <c r="K115" s="116">
        <f t="shared" si="21"/>
        <v>5466.7114601112471</v>
      </c>
      <c r="L115" s="116">
        <f t="shared" si="21"/>
        <v>22218.859505972006</v>
      </c>
      <c r="M115" s="116">
        <f t="shared" si="21"/>
        <v>12838.880530541479</v>
      </c>
      <c r="N115" s="116">
        <f t="shared" si="21"/>
        <v>28472.534949889436</v>
      </c>
      <c r="O115" s="116">
        <f t="shared" si="21"/>
        <v>20983.074381519036</v>
      </c>
      <c r="P115" s="116">
        <f t="shared" si="21"/>
        <v>0</v>
      </c>
      <c r="Q115" s="116">
        <f t="shared" si="21"/>
        <v>1116.1854893977911</v>
      </c>
      <c r="R115" s="116">
        <f t="shared" si="21"/>
        <v>0</v>
      </c>
      <c r="S115" s="116">
        <f t="shared" si="21"/>
        <v>62186.76129888554</v>
      </c>
      <c r="T115" s="116">
        <f t="shared" si="21"/>
        <v>80052.727463465679</v>
      </c>
      <c r="U115" s="116">
        <f t="shared" si="21"/>
        <v>60916.03274207723</v>
      </c>
      <c r="V115" s="116">
        <f t="shared" si="21"/>
        <v>246129.34116486509</v>
      </c>
      <c r="W115" s="116">
        <f t="shared" si="21"/>
        <v>0</v>
      </c>
      <c r="X115" s="116">
        <f t="shared" si="21"/>
        <v>38339.509205300026</v>
      </c>
      <c r="Y115" s="116">
        <f t="shared" si="21"/>
        <v>270.73977055089983</v>
      </c>
      <c r="Z115" s="116">
        <f t="shared" si="21"/>
        <v>1369.4529820466455</v>
      </c>
      <c r="AA115" s="116">
        <f t="shared" si="21"/>
        <v>24659.779594370411</v>
      </c>
      <c r="AB115" s="116">
        <f t="shared" si="21"/>
        <v>0</v>
      </c>
      <c r="AC115" s="116">
        <f t="shared" si="21"/>
        <v>13192.004416435882</v>
      </c>
      <c r="AD115" s="116">
        <f t="shared" si="21"/>
        <v>24985.353344218176</v>
      </c>
      <c r="AE115" s="116">
        <f t="shared" si="21"/>
        <v>3619.1328154059634</v>
      </c>
      <c r="AF115" s="116">
        <f t="shared" si="21"/>
        <v>32920.221972685671</v>
      </c>
      <c r="AG115" s="116">
        <f t="shared" si="21"/>
        <v>15578.448160000002</v>
      </c>
      <c r="AH115" s="116">
        <f t="shared" si="21"/>
        <v>-8.6011100000000003</v>
      </c>
      <c r="AI115" s="116">
        <f t="shared" si="21"/>
        <v>-886.37462000000005</v>
      </c>
      <c r="AJ115" s="116">
        <f t="shared" si="21"/>
        <v>-85822.839034149976</v>
      </c>
      <c r="AK115" s="116">
        <f t="shared" si="21"/>
        <v>0</v>
      </c>
      <c r="AL115" s="116">
        <f t="shared" si="21"/>
        <v>0</v>
      </c>
      <c r="AM115" s="116">
        <f t="shared" si="21"/>
        <v>0</v>
      </c>
      <c r="AN115" s="116">
        <f t="shared" si="21"/>
        <v>-1161.5589232958657</v>
      </c>
      <c r="AO115" s="116">
        <f t="shared" si="21"/>
        <v>0</v>
      </c>
    </row>
    <row r="116" spans="3:43" x14ac:dyDescent="0.35">
      <c r="C116" s="78"/>
      <c r="F116" t="s">
        <v>157</v>
      </c>
      <c r="G116" s="12" t="s">
        <v>277</v>
      </c>
      <c r="H116" s="88">
        <f t="shared" si="20"/>
        <v>978959.75426539395</v>
      </c>
      <c r="J116" s="88">
        <f t="shared" ref="J116:AO116" si="22">J45 * thousand * J74 / hundred</f>
        <v>611317.09744024498</v>
      </c>
      <c r="K116" s="88">
        <f t="shared" si="22"/>
        <v>3356.3118198559214</v>
      </c>
      <c r="L116" s="88">
        <f t="shared" si="22"/>
        <v>17817.089617607766</v>
      </c>
      <c r="M116" s="88">
        <f t="shared" si="22"/>
        <v>10295.374744186714</v>
      </c>
      <c r="N116" s="88">
        <f t="shared" si="22"/>
        <v>22831.85177467356</v>
      </c>
      <c r="O116" s="88">
        <f t="shared" si="22"/>
        <v>16826.125418722258</v>
      </c>
      <c r="P116" s="88">
        <f t="shared" si="22"/>
        <v>0</v>
      </c>
      <c r="Q116" s="88">
        <f t="shared" si="22"/>
        <v>863.43145862629683</v>
      </c>
      <c r="R116" s="88">
        <f t="shared" si="22"/>
        <v>0</v>
      </c>
      <c r="S116" s="88">
        <f t="shared" si="22"/>
        <v>36805.573438987907</v>
      </c>
      <c r="T116" s="88">
        <f t="shared" si="22"/>
        <v>47379.642838879816</v>
      </c>
      <c r="U116" s="88">
        <f t="shared" si="22"/>
        <v>36053.485820309084</v>
      </c>
      <c r="V116" s="88">
        <f t="shared" si="22"/>
        <v>145672.99136537442</v>
      </c>
      <c r="W116" s="88">
        <f t="shared" si="22"/>
        <v>0</v>
      </c>
      <c r="X116" s="88">
        <f t="shared" si="22"/>
        <v>16170.130093679916</v>
      </c>
      <c r="Y116" s="88">
        <f t="shared" si="22"/>
        <v>114.18762008398126</v>
      </c>
      <c r="Z116" s="88">
        <f t="shared" si="22"/>
        <v>577.58258610704809</v>
      </c>
      <c r="AA116" s="88">
        <f t="shared" si="22"/>
        <v>10400.546391640293</v>
      </c>
      <c r="AB116" s="88">
        <f t="shared" si="22"/>
        <v>0</v>
      </c>
      <c r="AC116" s="88">
        <f t="shared" si="22"/>
        <v>5053.4198240367896</v>
      </c>
      <c r="AD116" s="88">
        <f t="shared" si="22"/>
        <v>9571.0610696072254</v>
      </c>
      <c r="AE116" s="88">
        <f t="shared" si="22"/>
        <v>1386.3698751046779</v>
      </c>
      <c r="AF116" s="88">
        <f t="shared" si="22"/>
        <v>12610.646348874336</v>
      </c>
      <c r="AG116" s="88">
        <f t="shared" si="22"/>
        <v>22007.460239999993</v>
      </c>
      <c r="AH116" s="88">
        <f t="shared" si="22"/>
        <v>-60.153959999999998</v>
      </c>
      <c r="AI116" s="88">
        <f t="shared" si="22"/>
        <v>-10.832080000000001</v>
      </c>
      <c r="AJ116" s="88">
        <f t="shared" si="22"/>
        <v>-47534.024039162177</v>
      </c>
      <c r="AK116" s="88">
        <f t="shared" si="22"/>
        <v>0</v>
      </c>
      <c r="AL116" s="88">
        <f t="shared" si="22"/>
        <v>0</v>
      </c>
      <c r="AM116" s="88">
        <f t="shared" si="22"/>
        <v>0</v>
      </c>
      <c r="AN116" s="88">
        <f t="shared" si="22"/>
        <v>-545.61544204707718</v>
      </c>
      <c r="AO116" s="88">
        <f t="shared" si="22"/>
        <v>0</v>
      </c>
    </row>
    <row r="117" spans="3:43" x14ac:dyDescent="0.35">
      <c r="C117" s="78"/>
      <c r="F117" t="s">
        <v>158</v>
      </c>
      <c r="G117" s="12" t="s">
        <v>277</v>
      </c>
      <c r="H117" s="88">
        <f t="shared" si="20"/>
        <v>33009.583496353887</v>
      </c>
      <c r="J117" s="88">
        <f t="shared" ref="J117:AO117" si="23">J46 * thousand * J75 / hundred</f>
        <v>14442.162186271134</v>
      </c>
      <c r="K117" s="88">
        <f t="shared" si="23"/>
        <v>151.90538030582493</v>
      </c>
      <c r="L117" s="88">
        <f t="shared" si="23"/>
        <v>378.79160673671919</v>
      </c>
      <c r="M117" s="88">
        <f t="shared" si="23"/>
        <v>218.87982970311484</v>
      </c>
      <c r="N117" s="88">
        <f t="shared" si="23"/>
        <v>485.40552941689771</v>
      </c>
      <c r="O117" s="88">
        <f t="shared" si="23"/>
        <v>357.72369221360589</v>
      </c>
      <c r="P117" s="88">
        <f t="shared" si="23"/>
        <v>0</v>
      </c>
      <c r="Q117" s="88">
        <f t="shared" si="23"/>
        <v>20.532434526956713</v>
      </c>
      <c r="R117" s="88">
        <f t="shared" si="23"/>
        <v>0</v>
      </c>
      <c r="S117" s="88">
        <f t="shared" si="23"/>
        <v>978.69916603252761</v>
      </c>
      <c r="T117" s="88">
        <f t="shared" si="23"/>
        <v>1259.874866783377</v>
      </c>
      <c r="U117" s="88">
        <f t="shared" si="23"/>
        <v>958.70035997114337</v>
      </c>
      <c r="V117" s="88">
        <f t="shared" si="23"/>
        <v>3873.5990732243831</v>
      </c>
      <c r="W117" s="88">
        <f t="shared" si="23"/>
        <v>0</v>
      </c>
      <c r="X117" s="88">
        <f t="shared" si="23"/>
        <v>365.05803307982205</v>
      </c>
      <c r="Y117" s="88">
        <f t="shared" si="23"/>
        <v>2.5779080161028984</v>
      </c>
      <c r="Z117" s="88">
        <f t="shared" si="23"/>
        <v>13.039546472653731</v>
      </c>
      <c r="AA117" s="88">
        <f t="shared" si="23"/>
        <v>234.80349178956968</v>
      </c>
      <c r="AB117" s="88">
        <f t="shared" si="23"/>
        <v>0</v>
      </c>
      <c r="AC117" s="88">
        <f t="shared" si="23"/>
        <v>149.20962863964337</v>
      </c>
      <c r="AD117" s="88">
        <f t="shared" si="23"/>
        <v>282.5996092963926</v>
      </c>
      <c r="AE117" s="88">
        <f t="shared" si="23"/>
        <v>40.93460298659955</v>
      </c>
      <c r="AF117" s="88">
        <f t="shared" si="23"/>
        <v>372.34782071170252</v>
      </c>
      <c r="AG117" s="88">
        <f t="shared" si="23"/>
        <v>9540.6893400000008</v>
      </c>
      <c r="AH117" s="88">
        <f t="shared" si="23"/>
        <v>-0.11599999999999999</v>
      </c>
      <c r="AI117" s="88">
        <f t="shared" si="23"/>
        <v>0</v>
      </c>
      <c r="AJ117" s="88">
        <f t="shared" si="23"/>
        <v>-1106.8942634269745</v>
      </c>
      <c r="AK117" s="88">
        <f t="shared" si="23"/>
        <v>0</v>
      </c>
      <c r="AL117" s="88">
        <f t="shared" si="23"/>
        <v>0</v>
      </c>
      <c r="AM117" s="88">
        <f t="shared" si="23"/>
        <v>0</v>
      </c>
      <c r="AN117" s="88">
        <f t="shared" si="23"/>
        <v>-10.940346397315375</v>
      </c>
      <c r="AO117" s="88">
        <f t="shared" si="23"/>
        <v>0</v>
      </c>
    </row>
    <row r="118" spans="3:43" x14ac:dyDescent="0.35">
      <c r="C118" s="78"/>
      <c r="F118" s="19" t="s">
        <v>159</v>
      </c>
      <c r="G118" s="75" t="s">
        <v>277</v>
      </c>
      <c r="H118" s="116">
        <f t="shared" si="20"/>
        <v>9591569.8438031282</v>
      </c>
      <c r="I118" s="19"/>
      <c r="J118" s="116">
        <f t="shared" ref="J118:AO118" si="24" xml:space="preserve"> J47 * J76 * days_in_year / hundred</f>
        <v>5739352.5591928372</v>
      </c>
      <c r="K118" s="116">
        <f t="shared" si="24"/>
        <v>0</v>
      </c>
      <c r="L118" s="116">
        <f t="shared" si="24"/>
        <v>0</v>
      </c>
      <c r="M118" s="116">
        <f t="shared" si="24"/>
        <v>70915.269586624854</v>
      </c>
      <c r="N118" s="116">
        <f t="shared" si="24"/>
        <v>56488.097142359482</v>
      </c>
      <c r="O118" s="116">
        <f t="shared" si="24"/>
        <v>166941.11110895511</v>
      </c>
      <c r="P118" s="116">
        <f t="shared" si="24"/>
        <v>122343.49477717301</v>
      </c>
      <c r="Q118" s="116">
        <f t="shared" si="24"/>
        <v>0</v>
      </c>
      <c r="R118" s="116">
        <f t="shared" si="24"/>
        <v>0</v>
      </c>
      <c r="S118" s="116">
        <f t="shared" si="24"/>
        <v>153985.33963098121</v>
      </c>
      <c r="T118" s="116">
        <f t="shared" si="24"/>
        <v>495476.15927632799</v>
      </c>
      <c r="U118" s="116">
        <f t="shared" si="24"/>
        <v>350014.86495681369</v>
      </c>
      <c r="V118" s="116">
        <f t="shared" si="24"/>
        <v>1286129.8775134627</v>
      </c>
      <c r="W118" s="116">
        <f t="shared" si="24"/>
        <v>0</v>
      </c>
      <c r="X118" s="116">
        <f t="shared" si="24"/>
        <v>41069.903123493939</v>
      </c>
      <c r="Y118" s="116">
        <f t="shared" si="24"/>
        <v>4138.7674184864427</v>
      </c>
      <c r="Z118" s="116">
        <f t="shared" si="24"/>
        <v>20475.546121423169</v>
      </c>
      <c r="AA118" s="116">
        <f t="shared" si="24"/>
        <v>385911.58295418799</v>
      </c>
      <c r="AB118" s="116">
        <f t="shared" si="24"/>
        <v>0</v>
      </c>
      <c r="AC118" s="116">
        <f t="shared" si="24"/>
        <v>62078.835000000006</v>
      </c>
      <c r="AD118" s="116">
        <f t="shared" si="24"/>
        <v>154654.296</v>
      </c>
      <c r="AE118" s="116">
        <f t="shared" si="24"/>
        <v>99734.79</v>
      </c>
      <c r="AF118" s="116">
        <f t="shared" si="24"/>
        <v>381859.35</v>
      </c>
      <c r="AG118" s="116">
        <f t="shared" si="24"/>
        <v>0</v>
      </c>
      <c r="AH118" s="116">
        <f t="shared" si="24"/>
        <v>0</v>
      </c>
      <c r="AI118" s="116">
        <f t="shared" si="24"/>
        <v>0</v>
      </c>
      <c r="AJ118" s="116">
        <f t="shared" si="24"/>
        <v>0</v>
      </c>
      <c r="AK118" s="116">
        <f t="shared" si="24"/>
        <v>0</v>
      </c>
      <c r="AL118" s="116">
        <f t="shared" si="24"/>
        <v>0</v>
      </c>
      <c r="AM118" s="116">
        <f t="shared" si="24"/>
        <v>0</v>
      </c>
      <c r="AN118" s="116">
        <f t="shared" si="24"/>
        <v>0</v>
      </c>
      <c r="AO118" s="116">
        <f t="shared" si="24"/>
        <v>0</v>
      </c>
    </row>
    <row r="119" spans="3:43" x14ac:dyDescent="0.35">
      <c r="C119" s="78"/>
      <c r="F119" t="s">
        <v>160</v>
      </c>
      <c r="G119" s="12" t="s">
        <v>277</v>
      </c>
      <c r="H119" s="88">
        <f t="shared" si="20"/>
        <v>2262500.1649104538</v>
      </c>
      <c r="J119" s="88">
        <f t="shared" ref="J119:AO119" si="25" xml:space="preserve"> J48 * J77 * days_in_year / hundred</f>
        <v>0</v>
      </c>
      <c r="K119" s="88">
        <f t="shared" si="25"/>
        <v>0</v>
      </c>
      <c r="L119" s="88">
        <f t="shared" si="25"/>
        <v>0</v>
      </c>
      <c r="M119" s="88">
        <f t="shared" si="25"/>
        <v>0</v>
      </c>
      <c r="N119" s="88">
        <f t="shared" si="25"/>
        <v>0</v>
      </c>
      <c r="O119" s="88">
        <f t="shared" si="25"/>
        <v>0</v>
      </c>
      <c r="P119" s="88">
        <f t="shared" si="25"/>
        <v>0</v>
      </c>
      <c r="Q119" s="88">
        <f t="shared" si="25"/>
        <v>0</v>
      </c>
      <c r="R119" s="88">
        <f t="shared" si="25"/>
        <v>0</v>
      </c>
      <c r="S119" s="88">
        <f t="shared" si="25"/>
        <v>174108.2149868673</v>
      </c>
      <c r="T119" s="88">
        <f t="shared" si="25"/>
        <v>224128.6922228568</v>
      </c>
      <c r="U119" s="88">
        <f t="shared" si="25"/>
        <v>170550.47574884244</v>
      </c>
      <c r="V119" s="88">
        <f t="shared" si="25"/>
        <v>689103.90814767068</v>
      </c>
      <c r="W119" s="88">
        <f t="shared" si="25"/>
        <v>0</v>
      </c>
      <c r="X119" s="88">
        <f t="shared" si="25"/>
        <v>2064.8208399756927</v>
      </c>
      <c r="Y119" s="88">
        <f t="shared" si="25"/>
        <v>26931.337686713257</v>
      </c>
      <c r="Z119" s="88">
        <f t="shared" si="25"/>
        <v>41239.783330071856</v>
      </c>
      <c r="AA119" s="88">
        <f t="shared" si="25"/>
        <v>514183.36244745587</v>
      </c>
      <c r="AB119" s="88">
        <f t="shared" si="25"/>
        <v>416.65206832212772</v>
      </c>
      <c r="AC119" s="88">
        <f t="shared" si="25"/>
        <v>25655.205717899702</v>
      </c>
      <c r="AD119" s="88">
        <f t="shared" si="25"/>
        <v>96582.936818658258</v>
      </c>
      <c r="AE119" s="88">
        <f t="shared" si="25"/>
        <v>76365.480018999689</v>
      </c>
      <c r="AF119" s="88">
        <f t="shared" si="25"/>
        <v>221169.29487612023</v>
      </c>
      <c r="AG119" s="88">
        <f t="shared" si="25"/>
        <v>0</v>
      </c>
      <c r="AH119" s="88">
        <f t="shared" si="25"/>
        <v>0</v>
      </c>
      <c r="AI119" s="88">
        <f t="shared" si="25"/>
        <v>0</v>
      </c>
      <c r="AJ119" s="88">
        <f t="shared" si="25"/>
        <v>0</v>
      </c>
      <c r="AK119" s="88">
        <f t="shared" si="25"/>
        <v>0</v>
      </c>
      <c r="AL119" s="88">
        <f t="shared" si="25"/>
        <v>0</v>
      </c>
      <c r="AM119" s="88">
        <f t="shared" si="25"/>
        <v>0</v>
      </c>
      <c r="AN119" s="88">
        <f t="shared" si="25"/>
        <v>0</v>
      </c>
      <c r="AO119" s="88">
        <f t="shared" si="25"/>
        <v>0</v>
      </c>
    </row>
    <row r="120" spans="3:43" x14ac:dyDescent="0.35">
      <c r="C120" s="78"/>
      <c r="F120" t="s">
        <v>161</v>
      </c>
      <c r="G120" s="12" t="s">
        <v>277</v>
      </c>
      <c r="H120" s="88">
        <f t="shared" si="20"/>
        <v>15257.468319576299</v>
      </c>
      <c r="J120" s="88">
        <f t="shared" ref="J120:AO120" si="26" xml:space="preserve"> J49 * J78 * days_in_year / hundred</f>
        <v>0</v>
      </c>
      <c r="K120" s="88">
        <f t="shared" si="26"/>
        <v>0</v>
      </c>
      <c r="L120" s="88">
        <f t="shared" si="26"/>
        <v>0</v>
      </c>
      <c r="M120" s="88">
        <f t="shared" si="26"/>
        <v>0</v>
      </c>
      <c r="N120" s="88">
        <f t="shared" si="26"/>
        <v>0</v>
      </c>
      <c r="O120" s="88">
        <f t="shared" si="26"/>
        <v>0</v>
      </c>
      <c r="P120" s="88">
        <f t="shared" si="26"/>
        <v>0</v>
      </c>
      <c r="Q120" s="88">
        <f t="shared" si="26"/>
        <v>0</v>
      </c>
      <c r="R120" s="88">
        <f t="shared" si="26"/>
        <v>0</v>
      </c>
      <c r="S120" s="88">
        <f t="shared" si="26"/>
        <v>525.24729231697825</v>
      </c>
      <c r="T120" s="88">
        <f t="shared" si="26"/>
        <v>676.14838696428308</v>
      </c>
      <c r="U120" s="88">
        <f t="shared" si="26"/>
        <v>514.51435302584036</v>
      </c>
      <c r="V120" s="88">
        <f t="shared" si="26"/>
        <v>2078.8792872692025</v>
      </c>
      <c r="W120" s="88">
        <f t="shared" si="26"/>
        <v>0</v>
      </c>
      <c r="X120" s="88">
        <f t="shared" si="26"/>
        <v>0</v>
      </c>
      <c r="Y120" s="88">
        <f t="shared" si="26"/>
        <v>0</v>
      </c>
      <c r="Z120" s="88">
        <f t="shared" si="26"/>
        <v>0</v>
      </c>
      <c r="AA120" s="88">
        <f t="shared" si="26"/>
        <v>0</v>
      </c>
      <c r="AB120" s="88">
        <f t="shared" si="26"/>
        <v>11.366176746237908</v>
      </c>
      <c r="AC120" s="88">
        <f t="shared" si="26"/>
        <v>699.86836696870637</v>
      </c>
      <c r="AD120" s="88">
        <f t="shared" si="26"/>
        <v>2634.7612648903714</v>
      </c>
      <c r="AE120" s="88">
        <f t="shared" si="26"/>
        <v>2083.2334919220475</v>
      </c>
      <c r="AF120" s="88">
        <f t="shared" si="26"/>
        <v>6033.4496994726333</v>
      </c>
      <c r="AG120" s="88">
        <f t="shared" si="26"/>
        <v>0</v>
      </c>
      <c r="AH120" s="88">
        <f t="shared" si="26"/>
        <v>0</v>
      </c>
      <c r="AI120" s="88">
        <f t="shared" si="26"/>
        <v>0</v>
      </c>
      <c r="AJ120" s="88">
        <f t="shared" si="26"/>
        <v>0</v>
      </c>
      <c r="AK120" s="88">
        <f t="shared" si="26"/>
        <v>0</v>
      </c>
      <c r="AL120" s="88">
        <f t="shared" si="26"/>
        <v>0</v>
      </c>
      <c r="AM120" s="88">
        <f t="shared" si="26"/>
        <v>0</v>
      </c>
      <c r="AN120" s="88">
        <f t="shared" si="26"/>
        <v>0</v>
      </c>
      <c r="AO120" s="88">
        <f t="shared" si="26"/>
        <v>0</v>
      </c>
    </row>
    <row r="121" spans="3:43" x14ac:dyDescent="0.35">
      <c r="C121" s="78"/>
      <c r="F121" s="19" t="s">
        <v>162</v>
      </c>
      <c r="G121" s="75" t="s">
        <v>277</v>
      </c>
      <c r="H121" s="116">
        <f t="shared" si="20"/>
        <v>19423.855692819237</v>
      </c>
      <c r="I121" s="19"/>
      <c r="J121" s="116">
        <f t="shared" ref="J121:AO121" si="27">J50 * thousand * J79 / hundred</f>
        <v>0</v>
      </c>
      <c r="K121" s="116">
        <f t="shared" si="27"/>
        <v>0</v>
      </c>
      <c r="L121" s="116">
        <f t="shared" si="27"/>
        <v>0</v>
      </c>
      <c r="M121" s="116">
        <f t="shared" si="27"/>
        <v>0</v>
      </c>
      <c r="N121" s="116">
        <f t="shared" si="27"/>
        <v>0</v>
      </c>
      <c r="O121" s="116">
        <f t="shared" si="27"/>
        <v>0</v>
      </c>
      <c r="P121" s="116">
        <f t="shared" si="27"/>
        <v>0</v>
      </c>
      <c r="Q121" s="116">
        <f t="shared" si="27"/>
        <v>0</v>
      </c>
      <c r="R121" s="116">
        <f t="shared" si="27"/>
        <v>0</v>
      </c>
      <c r="S121" s="116">
        <f t="shared" si="27"/>
        <v>2259.0801410732183</v>
      </c>
      <c r="T121" s="116">
        <f t="shared" si="27"/>
        <v>2908.1033177185723</v>
      </c>
      <c r="U121" s="116">
        <f t="shared" si="27"/>
        <v>2212.9179421192785</v>
      </c>
      <c r="V121" s="116">
        <f t="shared" si="27"/>
        <v>8941.2263180675782</v>
      </c>
      <c r="W121" s="116">
        <f t="shared" si="27"/>
        <v>0</v>
      </c>
      <c r="X121" s="116">
        <f t="shared" si="27"/>
        <v>1586.5818403092524</v>
      </c>
      <c r="Y121" s="116">
        <f t="shared" si="27"/>
        <v>11.203868080454471</v>
      </c>
      <c r="Z121" s="116">
        <f t="shared" si="27"/>
        <v>56.671284466317609</v>
      </c>
      <c r="AA121" s="116">
        <f t="shared" si="27"/>
        <v>1020.4814641979866</v>
      </c>
      <c r="AB121" s="116">
        <f t="shared" si="27"/>
        <v>0</v>
      </c>
      <c r="AC121" s="116">
        <f t="shared" si="27"/>
        <v>75.495328975966189</v>
      </c>
      <c r="AD121" s="116">
        <f t="shared" si="27"/>
        <v>142.98641895180086</v>
      </c>
      <c r="AE121" s="116">
        <f t="shared" si="27"/>
        <v>20.711607871080936</v>
      </c>
      <c r="AF121" s="116">
        <f t="shared" si="27"/>
        <v>188.39616098773274</v>
      </c>
      <c r="AG121" s="116">
        <f t="shared" si="27"/>
        <v>0</v>
      </c>
      <c r="AH121" s="116">
        <f t="shared" si="27"/>
        <v>0</v>
      </c>
      <c r="AI121" s="116">
        <f t="shared" si="27"/>
        <v>0</v>
      </c>
      <c r="AJ121" s="116">
        <f t="shared" si="27"/>
        <v>0</v>
      </c>
      <c r="AK121" s="116">
        <f t="shared" si="27"/>
        <v>0</v>
      </c>
      <c r="AL121" s="116">
        <f t="shared" si="27"/>
        <v>0</v>
      </c>
      <c r="AM121" s="116">
        <f t="shared" si="27"/>
        <v>0</v>
      </c>
      <c r="AN121" s="116">
        <f t="shared" si="27"/>
        <v>0</v>
      </c>
      <c r="AO121" s="116">
        <f t="shared" si="27"/>
        <v>0</v>
      </c>
    </row>
    <row r="122" spans="3:43" x14ac:dyDescent="0.35">
      <c r="C122" s="78"/>
      <c r="F122" s="98" t="s">
        <v>100</v>
      </c>
      <c r="G122" s="204" t="s">
        <v>277</v>
      </c>
      <c r="H122" s="143">
        <f>SUM(H115:H121)</f>
        <v>14607068.056154078</v>
      </c>
      <c r="I122" s="98"/>
      <c r="J122" s="143">
        <f t="shared" ref="J122" si="28">SUM(J115:J121)</f>
        <v>7464022.8269254128</v>
      </c>
      <c r="K122" s="143">
        <f t="shared" ref="K122:AO122" si="29">SUM(K115:K121)</f>
        <v>8974.9286602729935</v>
      </c>
      <c r="L122" s="143">
        <f t="shared" si="29"/>
        <v>40414.740730316495</v>
      </c>
      <c r="M122" s="143">
        <f t="shared" si="29"/>
        <v>94268.404691056159</v>
      </c>
      <c r="N122" s="143">
        <f t="shared" si="29"/>
        <v>108277.88939633938</v>
      </c>
      <c r="O122" s="143">
        <f t="shared" si="29"/>
        <v>205108.03460141001</v>
      </c>
      <c r="P122" s="143">
        <f t="shared" si="29"/>
        <v>122343.49477717301</v>
      </c>
      <c r="Q122" s="143">
        <f t="shared" si="29"/>
        <v>2000.1493825510445</v>
      </c>
      <c r="R122" s="143">
        <f t="shared" si="29"/>
        <v>0</v>
      </c>
      <c r="S122" s="143">
        <f t="shared" si="29"/>
        <v>430848.91595514468</v>
      </c>
      <c r="T122" s="143">
        <f t="shared" si="29"/>
        <v>851881.34837299644</v>
      </c>
      <c r="U122" s="143">
        <f t="shared" si="29"/>
        <v>621220.99192315876</v>
      </c>
      <c r="V122" s="143">
        <f t="shared" si="29"/>
        <v>2381929.8228699341</v>
      </c>
      <c r="W122" s="143">
        <f t="shared" si="29"/>
        <v>0</v>
      </c>
      <c r="X122" s="143">
        <f t="shared" si="29"/>
        <v>99596.003135838662</v>
      </c>
      <c r="Y122" s="143">
        <f t="shared" si="29"/>
        <v>31468.814271931136</v>
      </c>
      <c r="Z122" s="143">
        <f t="shared" si="29"/>
        <v>63732.075850587695</v>
      </c>
      <c r="AA122" s="143">
        <f t="shared" si="29"/>
        <v>936410.55634364218</v>
      </c>
      <c r="AB122" s="143">
        <f t="shared" si="29"/>
        <v>428.01824506836562</v>
      </c>
      <c r="AC122" s="143">
        <f t="shared" si="29"/>
        <v>106904.0382829567</v>
      </c>
      <c r="AD122" s="143">
        <f t="shared" si="29"/>
        <v>288853.99452562223</v>
      </c>
      <c r="AE122" s="143">
        <f t="shared" si="29"/>
        <v>183250.65241229004</v>
      </c>
      <c r="AF122" s="143">
        <f t="shared" si="29"/>
        <v>655153.70687885233</v>
      </c>
      <c r="AG122" s="143">
        <f t="shared" si="29"/>
        <v>47126.597739999997</v>
      </c>
      <c r="AH122" s="143">
        <f t="shared" si="29"/>
        <v>-68.871070000000003</v>
      </c>
      <c r="AI122" s="143">
        <f t="shared" si="29"/>
        <v>-897.20670000000007</v>
      </c>
      <c r="AJ122" s="143">
        <f t="shared" si="29"/>
        <v>-134463.75733673913</v>
      </c>
      <c r="AK122" s="143">
        <f t="shared" si="29"/>
        <v>0</v>
      </c>
      <c r="AL122" s="143">
        <f t="shared" si="29"/>
        <v>0</v>
      </c>
      <c r="AM122" s="143">
        <f t="shared" si="29"/>
        <v>0</v>
      </c>
      <c r="AN122" s="143">
        <f t="shared" si="29"/>
        <v>-1718.1147117402584</v>
      </c>
      <c r="AO122" s="143">
        <f t="shared" si="29"/>
        <v>0</v>
      </c>
    </row>
    <row r="123" spans="3:43" x14ac:dyDescent="0.35">
      <c r="C123" s="78"/>
      <c r="D123" s="2"/>
      <c r="E123" s="2"/>
      <c r="G123" s="12"/>
      <c r="H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79"/>
      <c r="AJ123" s="79"/>
      <c r="AK123" s="79"/>
      <c r="AL123" s="79"/>
      <c r="AM123" s="79"/>
      <c r="AN123" s="79"/>
      <c r="AO123" s="79"/>
    </row>
    <row r="124" spans="3:43" x14ac:dyDescent="0.35">
      <c r="C124" s="26" t="str">
        <f ca="1">INDEX('Version control'!$H$38:$H$61,MATCH($A$1,'Version control'!$F$38:$F$61,0),1)&amp;"-E: Net revenue summary (for information only)"</f>
        <v>Section 118-E: Net revenue summary (for information only)</v>
      </c>
      <c r="D124" s="26"/>
      <c r="E124" s="26"/>
      <c r="F124" s="26"/>
      <c r="G124" s="26"/>
      <c r="H124" s="80"/>
      <c r="I124" s="26"/>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26"/>
      <c r="AQ124" s="26"/>
    </row>
    <row r="125" spans="3:43" x14ac:dyDescent="0.35">
      <c r="F125" s="3"/>
      <c r="G125" s="202"/>
      <c r="H125" s="117"/>
      <c r="I125" s="3"/>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79"/>
      <c r="AJ125" s="79"/>
      <c r="AK125" s="79"/>
      <c r="AL125" s="79"/>
      <c r="AM125" s="79"/>
      <c r="AN125" s="79"/>
      <c r="AO125" s="79"/>
    </row>
    <row r="126" spans="3:43" x14ac:dyDescent="0.35">
      <c r="E126" t="s">
        <v>736</v>
      </c>
      <c r="G126" s="12" t="s">
        <v>277</v>
      </c>
      <c r="H126" s="205">
        <f>H83</f>
        <v>989850258.58372772</v>
      </c>
      <c r="J126" s="189"/>
      <c r="K126" s="189"/>
      <c r="L126" s="189"/>
      <c r="M126" s="189"/>
      <c r="N126" s="189"/>
      <c r="O126" s="189"/>
      <c r="P126" s="189"/>
      <c r="Q126" s="189"/>
      <c r="R126" s="189"/>
      <c r="S126" s="189"/>
      <c r="T126" s="189"/>
      <c r="U126" s="189"/>
      <c r="V126" s="189"/>
      <c r="W126" s="189"/>
      <c r="X126" s="189"/>
      <c r="Y126" s="189"/>
      <c r="Z126" s="189"/>
      <c r="AA126" s="189"/>
      <c r="AB126" s="189"/>
      <c r="AC126" s="189"/>
      <c r="AD126" s="189"/>
      <c r="AE126" s="189"/>
      <c r="AF126" s="189"/>
      <c r="AG126" s="189"/>
      <c r="AH126" s="189"/>
      <c r="AI126" s="189"/>
      <c r="AJ126" s="189"/>
      <c r="AK126" s="189"/>
      <c r="AL126" s="189"/>
      <c r="AM126" s="189"/>
      <c r="AN126" s="189"/>
      <c r="AO126" s="189"/>
    </row>
    <row r="127" spans="3:43" x14ac:dyDescent="0.35">
      <c r="G127" s="12"/>
      <c r="H127" s="205"/>
      <c r="J127" s="189"/>
      <c r="K127" s="189"/>
      <c r="L127" s="189"/>
      <c r="M127" s="189"/>
      <c r="N127" s="189"/>
      <c r="O127" s="189"/>
      <c r="P127" s="189"/>
      <c r="Q127" s="189"/>
      <c r="R127" s="189"/>
      <c r="S127" s="189"/>
      <c r="T127" s="189"/>
      <c r="U127" s="189"/>
      <c r="V127" s="189"/>
      <c r="W127" s="189"/>
      <c r="X127" s="189"/>
      <c r="Y127" s="189"/>
      <c r="Z127" s="189"/>
      <c r="AA127" s="189"/>
      <c r="AB127" s="189"/>
      <c r="AC127" s="189"/>
      <c r="AD127" s="189"/>
      <c r="AE127" s="189"/>
      <c r="AF127" s="189"/>
      <c r="AG127" s="189"/>
      <c r="AH127" s="189"/>
      <c r="AI127" s="189"/>
      <c r="AJ127" s="189"/>
      <c r="AK127" s="189"/>
      <c r="AL127" s="189"/>
      <c r="AM127" s="189"/>
      <c r="AN127" s="189"/>
      <c r="AO127" s="189"/>
    </row>
    <row r="128" spans="3:43" x14ac:dyDescent="0.35">
      <c r="E128" t="s">
        <v>766</v>
      </c>
      <c r="G128" s="12" t="s">
        <v>277</v>
      </c>
      <c r="H128" s="375">
        <f>H85</f>
        <v>484436781.5392493</v>
      </c>
      <c r="J128" s="189"/>
      <c r="K128" s="189"/>
      <c r="L128" s="189"/>
      <c r="M128" s="189"/>
      <c r="N128" s="189"/>
      <c r="O128" s="189"/>
      <c r="P128" s="189"/>
      <c r="Q128" s="189"/>
      <c r="R128" s="189"/>
      <c r="S128" s="189"/>
      <c r="T128" s="189"/>
      <c r="U128" s="189"/>
      <c r="V128" s="189"/>
      <c r="W128" s="189"/>
      <c r="X128" s="189"/>
      <c r="Y128" s="189"/>
      <c r="Z128" s="189"/>
      <c r="AA128" s="189"/>
      <c r="AB128" s="189"/>
      <c r="AC128" s="189"/>
      <c r="AD128" s="189"/>
      <c r="AE128" s="189"/>
      <c r="AF128" s="189"/>
      <c r="AG128" s="189"/>
      <c r="AH128" s="189"/>
      <c r="AI128" s="189"/>
      <c r="AJ128" s="189"/>
      <c r="AK128" s="189"/>
      <c r="AL128" s="189"/>
      <c r="AM128" s="189"/>
      <c r="AN128" s="189"/>
      <c r="AO128" s="189"/>
    </row>
    <row r="129" spans="3:43" x14ac:dyDescent="0.35">
      <c r="E129" t="s">
        <v>891</v>
      </c>
      <c r="G129" s="12" t="s">
        <v>277</v>
      </c>
      <c r="H129" s="375">
        <f>H86</f>
        <v>8848316.0374732353</v>
      </c>
      <c r="J129" s="189"/>
      <c r="K129" s="189"/>
      <c r="L129" s="189"/>
      <c r="M129" s="189"/>
      <c r="N129" s="189"/>
      <c r="O129" s="189"/>
      <c r="P129" s="189"/>
      <c r="Q129" s="189"/>
      <c r="R129" s="189"/>
      <c r="S129" s="189"/>
      <c r="T129" s="189"/>
      <c r="U129" s="189"/>
      <c r="V129" s="189"/>
      <c r="W129" s="189"/>
      <c r="X129" s="189"/>
      <c r="Y129" s="189"/>
      <c r="Z129" s="189"/>
      <c r="AA129" s="189"/>
      <c r="AB129" s="189"/>
      <c r="AC129" s="189"/>
      <c r="AD129" s="189"/>
      <c r="AE129" s="189"/>
      <c r="AF129" s="189"/>
      <c r="AG129" s="189"/>
      <c r="AH129" s="189"/>
      <c r="AI129" s="189"/>
      <c r="AJ129" s="189"/>
      <c r="AK129" s="189"/>
      <c r="AL129" s="189"/>
      <c r="AM129" s="189"/>
      <c r="AN129" s="189"/>
      <c r="AO129" s="189"/>
    </row>
    <row r="130" spans="3:43" x14ac:dyDescent="0.35">
      <c r="E130" t="s">
        <v>892</v>
      </c>
      <c r="G130" s="12" t="s">
        <v>277</v>
      </c>
      <c r="H130" s="375">
        <f>H87</f>
        <v>13189.058791854763</v>
      </c>
      <c r="J130" s="189"/>
      <c r="K130" s="189"/>
      <c r="L130" s="189"/>
      <c r="M130" s="189"/>
      <c r="N130" s="189"/>
      <c r="O130" s="189"/>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89"/>
      <c r="AM130" s="189"/>
      <c r="AN130" s="189"/>
      <c r="AO130" s="189"/>
    </row>
    <row r="131" spans="3:43" x14ac:dyDescent="0.35">
      <c r="E131" t="s">
        <v>1013</v>
      </c>
      <c r="G131" s="12" t="s">
        <v>277</v>
      </c>
      <c r="H131" s="375">
        <f>H88</f>
        <v>496551971.94821334</v>
      </c>
      <c r="J131" s="189"/>
      <c r="K131" s="189"/>
      <c r="L131" s="189"/>
      <c r="M131" s="189"/>
      <c r="N131" s="189"/>
      <c r="O131" s="189"/>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89"/>
      <c r="AM131" s="189"/>
      <c r="AN131" s="189"/>
      <c r="AO131" s="189"/>
    </row>
    <row r="132" spans="3:43" x14ac:dyDescent="0.35">
      <c r="E132" s="28" t="s">
        <v>767</v>
      </c>
      <c r="F132" s="28"/>
      <c r="G132" s="76" t="s">
        <v>277</v>
      </c>
      <c r="H132" s="206">
        <f>SUM(H102,H112,H122) - SUM(H128:H129, H131)</f>
        <v>-55187.353915214539</v>
      </c>
      <c r="J132" s="189"/>
      <c r="K132" s="189"/>
      <c r="L132" s="189"/>
      <c r="M132" s="189"/>
      <c r="N132" s="189"/>
      <c r="O132" s="189"/>
      <c r="P132" s="189"/>
      <c r="Q132" s="189"/>
      <c r="R132" s="189"/>
      <c r="S132" s="189"/>
      <c r="T132" s="189"/>
      <c r="U132" s="189"/>
      <c r="V132" s="189"/>
      <c r="W132" s="189"/>
      <c r="X132" s="189"/>
      <c r="Y132" s="189"/>
      <c r="Z132" s="189"/>
      <c r="AA132" s="189"/>
      <c r="AB132" s="189"/>
      <c r="AC132" s="189"/>
      <c r="AD132" s="189"/>
      <c r="AE132" s="189"/>
      <c r="AF132" s="189"/>
      <c r="AG132" s="189"/>
      <c r="AH132" s="189"/>
      <c r="AI132" s="189"/>
      <c r="AJ132" s="189"/>
      <c r="AK132" s="189"/>
      <c r="AL132" s="189"/>
      <c r="AM132" s="189"/>
      <c r="AN132" s="189"/>
      <c r="AO132" s="189"/>
    </row>
    <row r="133" spans="3:43" x14ac:dyDescent="0.35">
      <c r="E133" s="98" t="s">
        <v>768</v>
      </c>
      <c r="F133" s="98"/>
      <c r="G133" s="204" t="s">
        <v>277</v>
      </c>
      <c r="H133" s="206">
        <f>SUM(H128:H132)</f>
        <v>989795071.22981262</v>
      </c>
      <c r="J133" s="189"/>
      <c r="K133" s="189"/>
      <c r="L133" s="189"/>
      <c r="M133" s="189"/>
      <c r="N133" s="189"/>
      <c r="O133" s="189"/>
      <c r="P133" s="189"/>
      <c r="Q133" s="189"/>
      <c r="R133" s="189"/>
      <c r="S133" s="189"/>
      <c r="T133" s="189"/>
      <c r="U133" s="189"/>
      <c r="V133" s="189"/>
      <c r="W133" s="189"/>
      <c r="X133" s="189"/>
      <c r="Y133" s="189"/>
      <c r="Z133" s="189"/>
      <c r="AA133" s="189"/>
      <c r="AB133" s="189"/>
      <c r="AC133" s="189"/>
      <c r="AD133" s="189"/>
      <c r="AE133" s="189"/>
      <c r="AF133" s="189"/>
      <c r="AG133" s="189"/>
      <c r="AH133" s="189"/>
      <c r="AI133" s="189"/>
      <c r="AJ133" s="189"/>
      <c r="AK133" s="189"/>
      <c r="AL133" s="189"/>
      <c r="AM133" s="189"/>
      <c r="AN133" s="189"/>
      <c r="AO133" s="189"/>
    </row>
    <row r="134" spans="3:43" x14ac:dyDescent="0.35">
      <c r="G134" s="12"/>
      <c r="H134" s="189"/>
      <c r="J134" s="189"/>
      <c r="K134" s="189"/>
      <c r="L134" s="189"/>
      <c r="M134" s="189"/>
      <c r="N134" s="189"/>
      <c r="O134" s="189"/>
      <c r="P134" s="189"/>
      <c r="Q134" s="189"/>
      <c r="R134" s="189"/>
      <c r="S134" s="189"/>
      <c r="T134" s="189"/>
      <c r="U134" s="189"/>
      <c r="V134" s="189"/>
      <c r="W134" s="189"/>
      <c r="X134" s="189"/>
      <c r="Y134" s="189"/>
      <c r="Z134" s="189"/>
      <c r="AA134" s="189"/>
      <c r="AB134" s="189"/>
      <c r="AC134" s="189"/>
      <c r="AD134" s="189"/>
      <c r="AE134" s="189"/>
      <c r="AF134" s="189"/>
      <c r="AG134" s="189"/>
      <c r="AH134" s="189"/>
      <c r="AI134" s="189"/>
      <c r="AJ134" s="189"/>
      <c r="AK134" s="189"/>
      <c r="AL134" s="189"/>
      <c r="AM134" s="189"/>
      <c r="AN134" s="189"/>
      <c r="AO134" s="189"/>
    </row>
    <row r="135" spans="3:43" x14ac:dyDescent="0.35">
      <c r="E135" t="s">
        <v>769</v>
      </c>
      <c r="G135" s="12" t="s">
        <v>277</v>
      </c>
      <c r="H135" s="305">
        <f>H133 - H126</f>
        <v>-55187.353915095329</v>
      </c>
      <c r="J135" s="189"/>
      <c r="K135" s="189"/>
      <c r="L135" s="189"/>
      <c r="M135" s="189"/>
      <c r="N135" s="189"/>
      <c r="O135" s="189"/>
      <c r="P135" s="189"/>
      <c r="Q135" s="189"/>
      <c r="R135" s="189"/>
      <c r="S135" s="189"/>
      <c r="T135" s="189"/>
      <c r="U135" s="189"/>
      <c r="V135" s="189"/>
      <c r="W135" s="189"/>
      <c r="X135" s="189"/>
      <c r="Y135" s="189"/>
      <c r="Z135" s="189"/>
      <c r="AA135" s="189"/>
      <c r="AB135" s="189"/>
      <c r="AC135" s="189"/>
      <c r="AD135" s="189"/>
      <c r="AE135" s="189"/>
      <c r="AF135" s="189"/>
      <c r="AG135" s="189"/>
      <c r="AH135" s="189"/>
      <c r="AI135" s="189"/>
      <c r="AJ135" s="189"/>
      <c r="AK135" s="189"/>
      <c r="AL135" s="189"/>
      <c r="AM135" s="189"/>
      <c r="AN135" s="189"/>
      <c r="AO135" s="189"/>
    </row>
    <row r="136" spans="3:43" x14ac:dyDescent="0.35">
      <c r="E136" t="s">
        <v>769</v>
      </c>
      <c r="G136" s="12" t="s">
        <v>167</v>
      </c>
      <c r="H136" s="306">
        <f>(H133 - H126) / H126</f>
        <v>-5.5753234831758382E-5</v>
      </c>
      <c r="J136" s="189"/>
      <c r="K136" s="189"/>
      <c r="L136" s="189"/>
      <c r="M136" s="189"/>
      <c r="N136" s="189"/>
      <c r="O136" s="189"/>
      <c r="P136" s="189"/>
      <c r="Q136" s="189"/>
      <c r="R136" s="189"/>
      <c r="S136" s="189"/>
      <c r="T136" s="189"/>
      <c r="U136" s="189"/>
      <c r="V136" s="189"/>
      <c r="W136" s="189"/>
      <c r="X136" s="189"/>
      <c r="Y136" s="189"/>
      <c r="Z136" s="189"/>
      <c r="AA136" s="189"/>
      <c r="AB136" s="189"/>
      <c r="AC136" s="189"/>
      <c r="AD136" s="189"/>
      <c r="AE136" s="189"/>
      <c r="AF136" s="189"/>
      <c r="AG136" s="189"/>
      <c r="AH136" s="189"/>
      <c r="AI136" s="189"/>
      <c r="AJ136" s="189"/>
      <c r="AK136" s="189"/>
      <c r="AL136" s="189"/>
      <c r="AM136" s="189"/>
      <c r="AN136" s="189"/>
      <c r="AO136" s="189"/>
    </row>
    <row r="137" spans="3:43" x14ac:dyDescent="0.35">
      <c r="C137" s="78"/>
      <c r="D137" s="2"/>
      <c r="E137" s="2"/>
      <c r="G137" s="12"/>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35">
      <c r="C138" s="26" t="str">
        <f ca="1">INDEX('Version control'!$H$38:$H$61,MATCH($A$1,'Version control'!$F$38:$F$61,0),1)&amp;"-F: Typical bills"</f>
        <v>Section 118-F: Typical bills</v>
      </c>
      <c r="D138" s="26"/>
      <c r="E138" s="26"/>
      <c r="F138" s="26"/>
      <c r="G138" s="26"/>
      <c r="H138" s="26"/>
      <c r="I138" s="26"/>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26"/>
      <c r="AQ138" s="26"/>
    </row>
    <row r="139" spans="3:43" x14ac:dyDescent="0.35">
      <c r="F139" s="3"/>
      <c r="G139" s="202"/>
      <c r="H139" s="3"/>
      <c r="I139" s="3"/>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row>
    <row r="140" spans="3:43" x14ac:dyDescent="0.35">
      <c r="E140" t="s">
        <v>770</v>
      </c>
      <c r="G140" s="12" t="s">
        <v>771</v>
      </c>
      <c r="H140" t="s">
        <v>772</v>
      </c>
      <c r="J140" s="189">
        <f t="shared" ref="J140:AO140" si="30" xml:space="preserve"> IF( J25 &lt;&gt; 0, J102 / J25, 0)</f>
        <v>154.64458658703688</v>
      </c>
      <c r="K140" s="189">
        <f t="shared" si="30"/>
        <v>17.300193719891229</v>
      </c>
      <c r="L140" s="189">
        <f t="shared" si="30"/>
        <v>415.04040004805813</v>
      </c>
      <c r="M140" s="189">
        <f t="shared" si="30"/>
        <v>148.10314850913284</v>
      </c>
      <c r="N140" s="189">
        <f t="shared" si="30"/>
        <v>341.3961248847624</v>
      </c>
      <c r="O140" s="189">
        <f t="shared" si="30"/>
        <v>714.13980706641371</v>
      </c>
      <c r="P140" s="189">
        <f t="shared" si="30"/>
        <v>1937.7346922854329</v>
      </c>
      <c r="Q140" s="189">
        <f t="shared" si="30"/>
        <v>33.715624405942208</v>
      </c>
      <c r="R140" s="189">
        <f t="shared" si="30"/>
        <v>1510.7813093455543</v>
      </c>
      <c r="S140" s="189">
        <f t="shared" si="30"/>
        <v>4092.5230436776255</v>
      </c>
      <c r="T140" s="189">
        <f t="shared" si="30"/>
        <v>6870.9891896713298</v>
      </c>
      <c r="U140" s="189">
        <f t="shared" si="30"/>
        <v>11562.815223353608</v>
      </c>
      <c r="V140" s="189">
        <f t="shared" si="30"/>
        <v>28473.800079777557</v>
      </c>
      <c r="W140" s="189">
        <f t="shared" si="30"/>
        <v>0</v>
      </c>
      <c r="X140" s="189">
        <f t="shared" si="30"/>
        <v>5432.7673824422773</v>
      </c>
      <c r="Y140" s="189">
        <f t="shared" si="30"/>
        <v>8350.951454946422</v>
      </c>
      <c r="Z140" s="189">
        <f t="shared" si="30"/>
        <v>12090.886186271933</v>
      </c>
      <c r="AA140" s="189">
        <f t="shared" si="30"/>
        <v>34770.482151469143</v>
      </c>
      <c r="AB140" s="189">
        <f t="shared" si="30"/>
        <v>1601.4513167763862</v>
      </c>
      <c r="AC140" s="189">
        <f t="shared" si="30"/>
        <v>20712.924834233872</v>
      </c>
      <c r="AD140" s="189">
        <f t="shared" si="30"/>
        <v>52554.580667909053</v>
      </c>
      <c r="AE140" s="189">
        <f t="shared" si="30"/>
        <v>102442.38980694275</v>
      </c>
      <c r="AF140" s="189">
        <f t="shared" si="30"/>
        <v>262252.14385185676</v>
      </c>
      <c r="AG140" s="189">
        <f t="shared" si="30"/>
        <v>3098.5578259922763</v>
      </c>
      <c r="AH140" s="189">
        <f t="shared" si="30"/>
        <v>-14.911703885678078</v>
      </c>
      <c r="AI140" s="189">
        <f t="shared" si="30"/>
        <v>-57.641018974358978</v>
      </c>
      <c r="AJ140" s="189">
        <f t="shared" si="30"/>
        <v>-540.36944861603581</v>
      </c>
      <c r="AK140" s="189">
        <f t="shared" si="30"/>
        <v>0</v>
      </c>
      <c r="AL140" s="189">
        <f t="shared" si="30"/>
        <v>0</v>
      </c>
      <c r="AM140" s="189">
        <f t="shared" si="30"/>
        <v>0</v>
      </c>
      <c r="AN140" s="189">
        <f t="shared" si="30"/>
        <v>-21569.400679463757</v>
      </c>
      <c r="AO140" s="189">
        <f t="shared" si="30"/>
        <v>0</v>
      </c>
    </row>
    <row r="141" spans="3:43" x14ac:dyDescent="0.35">
      <c r="E141" t="s">
        <v>773</v>
      </c>
      <c r="G141" s="12" t="s">
        <v>771</v>
      </c>
      <c r="H141" t="s">
        <v>447</v>
      </c>
      <c r="J141" s="88">
        <f t="shared" ref="J141:AO141" si="31" xml:space="preserve"> IF( J36 &lt;&gt; 0, J112 / J36, 0)</f>
        <v>80.96613968056424</v>
      </c>
      <c r="K141" s="88">
        <f t="shared" si="31"/>
        <v>0</v>
      </c>
      <c r="L141" s="88">
        <f t="shared" si="31"/>
        <v>61.904133609905656</v>
      </c>
      <c r="M141" s="88">
        <f t="shared" si="31"/>
        <v>123.35115489276906</v>
      </c>
      <c r="N141" s="88">
        <f t="shared" si="31"/>
        <v>200.50759997394184</v>
      </c>
      <c r="O141" s="88">
        <f t="shared" si="31"/>
        <v>368.31531488951333</v>
      </c>
      <c r="P141" s="88">
        <f t="shared" si="31"/>
        <v>1009.5172850125081</v>
      </c>
      <c r="Q141" s="88">
        <f t="shared" si="31"/>
        <v>450.23870326220435</v>
      </c>
      <c r="R141" s="88">
        <f t="shared" si="31"/>
        <v>0</v>
      </c>
      <c r="S141" s="88">
        <f t="shared" si="31"/>
        <v>2765.5907573167601</v>
      </c>
      <c r="T141" s="88">
        <f t="shared" si="31"/>
        <v>3585.1210604782323</v>
      </c>
      <c r="U141" s="88">
        <f t="shared" si="31"/>
        <v>6142.6456415617595</v>
      </c>
      <c r="V141" s="88">
        <f t="shared" si="31"/>
        <v>12422.858083905703</v>
      </c>
      <c r="W141" s="88">
        <f t="shared" si="31"/>
        <v>0</v>
      </c>
      <c r="X141" s="88">
        <f t="shared" si="31"/>
        <v>0</v>
      </c>
      <c r="Y141" s="88">
        <f t="shared" si="31"/>
        <v>0</v>
      </c>
      <c r="Z141" s="88">
        <f t="shared" si="31"/>
        <v>0</v>
      </c>
      <c r="AA141" s="88">
        <f t="shared" si="31"/>
        <v>0</v>
      </c>
      <c r="AB141" s="88">
        <f t="shared" si="31"/>
        <v>0</v>
      </c>
      <c r="AC141" s="88">
        <f t="shared" si="31"/>
        <v>0</v>
      </c>
      <c r="AD141" s="88">
        <f t="shared" si="31"/>
        <v>0</v>
      </c>
      <c r="AE141" s="88">
        <f t="shared" si="31"/>
        <v>0</v>
      </c>
      <c r="AF141" s="88">
        <f t="shared" si="31"/>
        <v>0</v>
      </c>
      <c r="AG141" s="88">
        <f t="shared" si="31"/>
        <v>47.127661412996545</v>
      </c>
      <c r="AH141" s="88">
        <f t="shared" si="31"/>
        <v>-36.768115891257338</v>
      </c>
      <c r="AI141" s="88">
        <f t="shared" si="31"/>
        <v>0</v>
      </c>
      <c r="AJ141" s="88">
        <f t="shared" si="31"/>
        <v>-888.79997545611752</v>
      </c>
      <c r="AK141" s="88">
        <f t="shared" si="31"/>
        <v>0</v>
      </c>
      <c r="AL141" s="88">
        <f t="shared" si="31"/>
        <v>0</v>
      </c>
      <c r="AM141" s="88">
        <f t="shared" si="31"/>
        <v>0</v>
      </c>
      <c r="AN141" s="88">
        <f t="shared" si="31"/>
        <v>0</v>
      </c>
      <c r="AO141" s="88">
        <f t="shared" si="31"/>
        <v>0</v>
      </c>
    </row>
    <row r="142" spans="3:43" x14ac:dyDescent="0.35">
      <c r="E142" t="s">
        <v>774</v>
      </c>
      <c r="G142" s="12" t="s">
        <v>771</v>
      </c>
      <c r="H142" t="s">
        <v>448</v>
      </c>
      <c r="J142" s="88">
        <f t="shared" ref="J142:AO142" si="32" xml:space="preserve"> IF( J47 &lt;&gt; 0, J122 / J47, 0)</f>
        <v>57.95869305560722</v>
      </c>
      <c r="K142" s="88">
        <f t="shared" si="32"/>
        <v>16.822734133595116</v>
      </c>
      <c r="L142" s="88">
        <f t="shared" si="32"/>
        <v>0</v>
      </c>
      <c r="M142" s="88">
        <f t="shared" si="32"/>
        <v>63.75505562825186</v>
      </c>
      <c r="N142" s="88">
        <f t="shared" si="32"/>
        <v>192.33150973052577</v>
      </c>
      <c r="O142" s="88">
        <f t="shared" si="32"/>
        <v>246.37741424765807</v>
      </c>
      <c r="P142" s="88">
        <f t="shared" si="32"/>
        <v>531.65899999999988</v>
      </c>
      <c r="Q142" s="88">
        <f t="shared" si="32"/>
        <v>0</v>
      </c>
      <c r="R142" s="88">
        <f t="shared" si="32"/>
        <v>0</v>
      </c>
      <c r="S142" s="88">
        <f t="shared" si="32"/>
        <v>2684.2932067090151</v>
      </c>
      <c r="T142" s="88">
        <f t="shared" si="32"/>
        <v>2721.1250543869896</v>
      </c>
      <c r="U142" s="88">
        <f t="shared" si="32"/>
        <v>4699.7196953085604</v>
      </c>
      <c r="V142" s="88">
        <f t="shared" si="32"/>
        <v>12300.964947019404</v>
      </c>
      <c r="W142" s="88">
        <f t="shared" si="32"/>
        <v>0</v>
      </c>
      <c r="X142" s="88">
        <f t="shared" si="32"/>
        <v>4019.6782204107053</v>
      </c>
      <c r="Y142" s="88">
        <f t="shared" si="32"/>
        <v>20321.218260697584</v>
      </c>
      <c r="Z142" s="88">
        <f t="shared" si="32"/>
        <v>13718.485570885898</v>
      </c>
      <c r="AA142" s="88">
        <f t="shared" si="32"/>
        <v>26476.714855855305</v>
      </c>
      <c r="AB142" s="88">
        <f t="shared" si="32"/>
        <v>0</v>
      </c>
      <c r="AC142" s="88">
        <f t="shared" si="32"/>
        <v>17817.339713826117</v>
      </c>
      <c r="AD142" s="88">
        <f t="shared" si="32"/>
        <v>48142.33242093704</v>
      </c>
      <c r="AE142" s="88">
        <f t="shared" si="32"/>
        <v>91625.326206145022</v>
      </c>
      <c r="AF142" s="88">
        <f t="shared" si="32"/>
        <v>218384.56895961743</v>
      </c>
      <c r="AG142" s="88">
        <f t="shared" si="32"/>
        <v>176.73899466973148</v>
      </c>
      <c r="AH142" s="88">
        <f t="shared" si="32"/>
        <v>-68.871070000000003</v>
      </c>
      <c r="AI142" s="88">
        <f t="shared" si="32"/>
        <v>-897.20670000000007</v>
      </c>
      <c r="AJ142" s="88">
        <f t="shared" si="32"/>
        <v>0</v>
      </c>
      <c r="AK142" s="88">
        <f t="shared" si="32"/>
        <v>0</v>
      </c>
      <c r="AL142" s="88">
        <f t="shared" si="32"/>
        <v>0</v>
      </c>
      <c r="AM142" s="88">
        <f t="shared" si="32"/>
        <v>0</v>
      </c>
      <c r="AN142" s="88">
        <f t="shared" si="32"/>
        <v>0</v>
      </c>
      <c r="AO142" s="88">
        <f t="shared" si="32"/>
        <v>0</v>
      </c>
    </row>
    <row r="143" spans="3:43" x14ac:dyDescent="0.35">
      <c r="D143" s="2"/>
      <c r="E143" s="2"/>
      <c r="G143" s="12"/>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row>
    <row r="144" spans="3:43" x14ac:dyDescent="0.35">
      <c r="C144" s="26" t="str">
        <f ca="1">INDEX('Version control'!$H$38:$H$61,MATCH($A$1,'Version control'!$F$38:$F$61,0),1)&amp;"-G: Average bill per kWh"</f>
        <v>Section 118-G: Average bill per kWh</v>
      </c>
      <c r="D144" s="26"/>
      <c r="E144" s="26"/>
      <c r="F144" s="26"/>
      <c r="G144" s="26"/>
      <c r="H144" s="26"/>
      <c r="I144" s="26"/>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26"/>
      <c r="AQ144" s="26"/>
    </row>
    <row r="145" spans="2:43" x14ac:dyDescent="0.35">
      <c r="F145" s="3"/>
      <c r="G145" s="202"/>
      <c r="H145" s="3"/>
      <c r="I145" s="3"/>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row>
    <row r="146" spans="2:43" x14ac:dyDescent="0.35">
      <c r="E146" t="s">
        <v>775</v>
      </c>
      <c r="G146" s="12" t="s">
        <v>269</v>
      </c>
      <c r="H146" s="256" t="s">
        <v>772</v>
      </c>
      <c r="I146" s="256"/>
      <c r="J146" s="264">
        <f t="shared" ref="J146:AO146" si="33" xml:space="preserve"> IF( SUM(J$22:J$24) &lt;&gt; 0, J$102 / SUM(J$22:J$24) * hundred / thousand, 0)</f>
        <v>4.8442173042827683</v>
      </c>
      <c r="K146" s="264">
        <f t="shared" si="33"/>
        <v>0.40653110970693612</v>
      </c>
      <c r="L146" s="264">
        <f t="shared" si="33"/>
        <v>1.6866505335995636</v>
      </c>
      <c r="M146" s="264">
        <f t="shared" si="33"/>
        <v>5.063170185048893</v>
      </c>
      <c r="N146" s="264">
        <f t="shared" si="33"/>
        <v>4.2637717747417616</v>
      </c>
      <c r="O146" s="264">
        <f t="shared" si="33"/>
        <v>3.9850323464897603</v>
      </c>
      <c r="P146" s="264">
        <f t="shared" si="33"/>
        <v>3.8637144350589088</v>
      </c>
      <c r="Q146" s="264">
        <f t="shared" si="33"/>
        <v>0.44912373306371373</v>
      </c>
      <c r="R146" s="264">
        <f t="shared" si="33"/>
        <v>2.348510393725995</v>
      </c>
      <c r="S146" s="264">
        <f t="shared" si="33"/>
        <v>4.5691192344238232</v>
      </c>
      <c r="T146" s="264">
        <f t="shared" si="33"/>
        <v>4.48825074598368</v>
      </c>
      <c r="U146" s="264">
        <f t="shared" si="33"/>
        <v>4.4629385319600967</v>
      </c>
      <c r="V146" s="264">
        <f t="shared" si="33"/>
        <v>4.5498313160492438</v>
      </c>
      <c r="W146" s="264">
        <f t="shared" si="33"/>
        <v>0</v>
      </c>
      <c r="X146" s="264">
        <f t="shared" si="33"/>
        <v>2.5735193746575669</v>
      </c>
      <c r="Y146" s="264">
        <f t="shared" si="33"/>
        <v>2.665091658642579</v>
      </c>
      <c r="Z146" s="264">
        <f t="shared" si="33"/>
        <v>2.9805355586230466</v>
      </c>
      <c r="AA146" s="264">
        <f t="shared" si="33"/>
        <v>2.6265021404629554</v>
      </c>
      <c r="AB146" s="264">
        <f t="shared" si="33"/>
        <v>3.212331981323167</v>
      </c>
      <c r="AC146" s="264">
        <f t="shared" si="33"/>
        <v>4.0774720632803652</v>
      </c>
      <c r="AD146" s="264">
        <f t="shared" si="33"/>
        <v>3.9743944610795832</v>
      </c>
      <c r="AE146" s="264">
        <f t="shared" si="33"/>
        <v>3.9340926926899558</v>
      </c>
      <c r="AF146" s="264">
        <f t="shared" si="33"/>
        <v>3.9186671864675646</v>
      </c>
      <c r="AG146" s="264">
        <f t="shared" si="33"/>
        <v>6.6693440323330764</v>
      </c>
      <c r="AH146" s="264">
        <f t="shared" si="33"/>
        <v>-1.3026044542979685</v>
      </c>
      <c r="AI146" s="264">
        <f t="shared" si="33"/>
        <v>-1.0571907034927746</v>
      </c>
      <c r="AJ146" s="264">
        <f t="shared" si="33"/>
        <v>-1.0670983391089968</v>
      </c>
      <c r="AK146" s="264">
        <f t="shared" si="33"/>
        <v>0</v>
      </c>
      <c r="AL146" s="264">
        <f t="shared" si="33"/>
        <v>0</v>
      </c>
      <c r="AM146" s="264">
        <f t="shared" si="33"/>
        <v>0</v>
      </c>
      <c r="AN146" s="264">
        <f t="shared" si="33"/>
        <v>-0.58218719848144596</v>
      </c>
      <c r="AO146" s="264">
        <f t="shared" si="33"/>
        <v>0</v>
      </c>
      <c r="AP146" s="256"/>
      <c r="AQ146" s="256"/>
    </row>
    <row r="147" spans="2:43" x14ac:dyDescent="0.35">
      <c r="E147" t="s">
        <v>776</v>
      </c>
      <c r="G147" s="12" t="s">
        <v>269</v>
      </c>
      <c r="H147" s="256" t="s">
        <v>447</v>
      </c>
      <c r="I147" s="256"/>
      <c r="J147" s="271">
        <f t="shared" ref="J147:AO147" si="34" xml:space="preserve"> IF( SUM(J$33:J$35) &lt;&gt; 0, J$112 / SUM(J$33:J$35) * hundred / thousand, 0)</f>
        <v>4.8579896721691611</v>
      </c>
      <c r="K147" s="271">
        <f t="shared" si="34"/>
        <v>0</v>
      </c>
      <c r="L147" s="271">
        <f t="shared" si="34"/>
        <v>1.5895423567864755</v>
      </c>
      <c r="M147" s="271">
        <f t="shared" si="34"/>
        <v>2.0835728409845031</v>
      </c>
      <c r="N147" s="271">
        <f t="shared" si="34"/>
        <v>3.1318031171465694</v>
      </c>
      <c r="O147" s="271">
        <f t="shared" si="34"/>
        <v>3.9210924885069218</v>
      </c>
      <c r="P147" s="271">
        <f t="shared" si="34"/>
        <v>3.5850573283095453</v>
      </c>
      <c r="Q147" s="271">
        <f t="shared" si="34"/>
        <v>1.0028127216963449</v>
      </c>
      <c r="R147" s="271">
        <f t="shared" si="34"/>
        <v>0</v>
      </c>
      <c r="S147" s="271">
        <f t="shared" si="34"/>
        <v>5.2688552696777426</v>
      </c>
      <c r="T147" s="271">
        <f t="shared" si="34"/>
        <v>7.0392563081146085</v>
      </c>
      <c r="U147" s="271">
        <f t="shared" si="34"/>
        <v>6.7903699122595551</v>
      </c>
      <c r="V147" s="271">
        <f t="shared" si="34"/>
        <v>10.527888000404525</v>
      </c>
      <c r="W147" s="271">
        <f t="shared" si="34"/>
        <v>0</v>
      </c>
      <c r="X147" s="271">
        <f t="shared" si="34"/>
        <v>0</v>
      </c>
      <c r="Y147" s="271">
        <f t="shared" si="34"/>
        <v>0</v>
      </c>
      <c r="Z147" s="271">
        <f t="shared" si="34"/>
        <v>0</v>
      </c>
      <c r="AA147" s="271">
        <f t="shared" si="34"/>
        <v>0</v>
      </c>
      <c r="AB147" s="271">
        <f t="shared" si="34"/>
        <v>0</v>
      </c>
      <c r="AC147" s="271">
        <f t="shared" si="34"/>
        <v>0</v>
      </c>
      <c r="AD147" s="271">
        <f t="shared" si="34"/>
        <v>0</v>
      </c>
      <c r="AE147" s="271">
        <f t="shared" si="34"/>
        <v>0</v>
      </c>
      <c r="AF147" s="271">
        <f t="shared" si="34"/>
        <v>0</v>
      </c>
      <c r="AG147" s="271">
        <f t="shared" si="34"/>
        <v>4.6018418885929888</v>
      </c>
      <c r="AH147" s="271">
        <f t="shared" si="34"/>
        <v>-1.3354979772576276</v>
      </c>
      <c r="AI147" s="271">
        <f t="shared" si="34"/>
        <v>0</v>
      </c>
      <c r="AJ147" s="271">
        <f t="shared" si="34"/>
        <v>-1.2250185730023397</v>
      </c>
      <c r="AK147" s="271">
        <f t="shared" si="34"/>
        <v>0</v>
      </c>
      <c r="AL147" s="271">
        <f t="shared" si="34"/>
        <v>0</v>
      </c>
      <c r="AM147" s="271">
        <f t="shared" si="34"/>
        <v>0</v>
      </c>
      <c r="AN147" s="271">
        <f t="shared" si="34"/>
        <v>0</v>
      </c>
      <c r="AO147" s="271">
        <f t="shared" si="34"/>
        <v>0</v>
      </c>
      <c r="AP147" s="256"/>
      <c r="AQ147" s="256"/>
    </row>
    <row r="148" spans="2:43" x14ac:dyDescent="0.35">
      <c r="E148" t="s">
        <v>777</v>
      </c>
      <c r="G148" s="12" t="s">
        <v>269</v>
      </c>
      <c r="H148" s="256" t="s">
        <v>448</v>
      </c>
      <c r="I148" s="256"/>
      <c r="J148" s="271">
        <f t="shared" ref="J148:AO148" si="35" xml:space="preserve"> IF( SUM(J$44:J$46) &lt;&gt; 0, J$122 / SUM(J$44:J$46) * hundred / thousand, 0)</f>
        <v>3.8255351440793084</v>
      </c>
      <c r="K148" s="271">
        <f t="shared" si="35"/>
        <v>0.67121119102042737</v>
      </c>
      <c r="L148" s="271">
        <f t="shared" si="35"/>
        <v>0.71226788909583161</v>
      </c>
      <c r="M148" s="271">
        <f t="shared" si="35"/>
        <v>2.875175316610461</v>
      </c>
      <c r="N148" s="271">
        <f t="shared" si="35"/>
        <v>1.4891518262492336</v>
      </c>
      <c r="O148" s="271">
        <f t="shared" si="35"/>
        <v>3.8277087455325427</v>
      </c>
      <c r="P148" s="271">
        <f t="shared" si="35"/>
        <v>0</v>
      </c>
      <c r="Q148" s="271">
        <f t="shared" si="35"/>
        <v>0.70172618575191192</v>
      </c>
      <c r="R148" s="271">
        <f t="shared" si="35"/>
        <v>0</v>
      </c>
      <c r="S148" s="271">
        <f t="shared" si="35"/>
        <v>2.2697059492685647</v>
      </c>
      <c r="T148" s="271">
        <f t="shared" si="35"/>
        <v>3.4861454830573093</v>
      </c>
      <c r="U148" s="271">
        <f t="shared" si="35"/>
        <v>3.3408505013825085</v>
      </c>
      <c r="V148" s="271">
        <f t="shared" si="35"/>
        <v>3.1703565222369123</v>
      </c>
      <c r="W148" s="271">
        <f t="shared" si="35"/>
        <v>0</v>
      </c>
      <c r="X148" s="271">
        <f t="shared" si="35"/>
        <v>0.91587159107875427</v>
      </c>
      <c r="Y148" s="271">
        <f t="shared" si="35"/>
        <v>40.97958440231799</v>
      </c>
      <c r="Z148" s="271">
        <f t="shared" si="35"/>
        <v>16.40779288192779</v>
      </c>
      <c r="AA148" s="271">
        <f t="shared" si="35"/>
        <v>13.388019531261966</v>
      </c>
      <c r="AB148" s="271">
        <f t="shared" si="35"/>
        <v>0</v>
      </c>
      <c r="AC148" s="271">
        <f t="shared" si="35"/>
        <v>2.3352697367036308</v>
      </c>
      <c r="AD148" s="271">
        <f t="shared" si="35"/>
        <v>3.3315521086008184</v>
      </c>
      <c r="AE148" s="271">
        <f t="shared" si="35"/>
        <v>14.591325195552322</v>
      </c>
      <c r="AF148" s="271">
        <f t="shared" si="35"/>
        <v>5.7350099546562623</v>
      </c>
      <c r="AG148" s="271">
        <f t="shared" si="35"/>
        <v>3.5944648826013208</v>
      </c>
      <c r="AH148" s="271">
        <f t="shared" si="35"/>
        <v>-0.88969215863583528</v>
      </c>
      <c r="AI148" s="271">
        <f t="shared" si="35"/>
        <v>-5.2597414702778762</v>
      </c>
      <c r="AJ148" s="271">
        <f t="shared" si="35"/>
        <v>-1.3613753370924102</v>
      </c>
      <c r="AK148" s="271">
        <f t="shared" si="35"/>
        <v>0</v>
      </c>
      <c r="AL148" s="271">
        <f t="shared" si="35"/>
        <v>0</v>
      </c>
      <c r="AM148" s="271">
        <f t="shared" si="35"/>
        <v>0</v>
      </c>
      <c r="AN148" s="271">
        <f t="shared" si="35"/>
        <v>-0.64803373219208582</v>
      </c>
      <c r="AO148" s="271">
        <f t="shared" si="35"/>
        <v>0</v>
      </c>
      <c r="AP148" s="256"/>
      <c r="AQ148" s="256"/>
    </row>
    <row r="149" spans="2:43" x14ac:dyDescent="0.35">
      <c r="C149" s="78"/>
      <c r="D149" s="2"/>
      <c r="E149" s="2"/>
      <c r="G149" s="12"/>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row>
    <row r="150" spans="2:43" x14ac:dyDescent="0.35">
      <c r="B150" s="25" t="s">
        <v>778</v>
      </c>
      <c r="C150" s="25"/>
      <c r="D150" s="25"/>
      <c r="E150" s="25"/>
      <c r="F150" s="25"/>
      <c r="G150" s="82"/>
      <c r="H150" s="25"/>
      <c r="I150" s="25"/>
      <c r="J150" s="174"/>
      <c r="K150" s="174"/>
      <c r="L150" s="174"/>
      <c r="M150" s="174"/>
      <c r="N150" s="174"/>
      <c r="O150" s="174"/>
      <c r="P150" s="174"/>
      <c r="Q150" s="174"/>
      <c r="R150" s="174"/>
      <c r="S150" s="174"/>
      <c r="T150" s="174"/>
      <c r="U150" s="174"/>
      <c r="V150" s="174"/>
      <c r="W150" s="174"/>
      <c r="X150" s="174"/>
      <c r="Y150" s="174"/>
      <c r="Z150" s="174"/>
      <c r="AA150" s="174"/>
      <c r="AB150" s="174"/>
      <c r="AC150" s="174"/>
      <c r="AD150" s="174"/>
      <c r="AE150" s="174"/>
      <c r="AF150" s="174"/>
      <c r="AG150" s="174"/>
      <c r="AH150" s="174"/>
      <c r="AI150" s="174"/>
      <c r="AJ150" s="174"/>
      <c r="AK150" s="174"/>
      <c r="AL150" s="174"/>
      <c r="AM150" s="174"/>
      <c r="AN150" s="174"/>
      <c r="AO150" s="174"/>
      <c r="AP150" s="25"/>
      <c r="AQ150" s="25"/>
    </row>
    <row r="151" spans="2:43" x14ac:dyDescent="0.35">
      <c r="F151" s="3"/>
      <c r="G151" s="202"/>
      <c r="H151" s="3"/>
      <c r="I151" s="3"/>
      <c r="J151" s="79"/>
      <c r="K151" s="79"/>
      <c r="L151" s="79"/>
      <c r="M151" s="79"/>
      <c r="N151" s="79"/>
      <c r="O151" s="79"/>
      <c r="P151" s="79"/>
      <c r="Q151" s="79"/>
      <c r="R151" s="79"/>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row>
    <row r="152" spans="2:43" x14ac:dyDescent="0.35">
      <c r="C152" s="26" t="str">
        <f ca="1">INDEX('Version control'!$H$38:$H$61,MATCH($A$1,'Version control'!$F$38:$F$61,0),1)&amp;"-H: Previous year all the way tariff forecast"</f>
        <v>Section 118-H: Previous year all the way tariff forecast</v>
      </c>
      <c r="D152" s="26"/>
      <c r="E152" s="26"/>
      <c r="F152" s="26"/>
      <c r="G152" s="26"/>
      <c r="H152" s="26"/>
      <c r="I152" s="26"/>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26"/>
      <c r="AQ152" s="26"/>
    </row>
    <row r="153" spans="2:43" x14ac:dyDescent="0.35">
      <c r="D153" s="27"/>
      <c r="J153" s="79"/>
      <c r="K153" s="79"/>
      <c r="L153" s="79"/>
      <c r="M153" s="79"/>
      <c r="N153" s="79"/>
      <c r="O153" s="79"/>
      <c r="P153" s="79"/>
      <c r="Q153" s="79"/>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row>
    <row r="154" spans="2:43" x14ac:dyDescent="0.35">
      <c r="E154" s="27" t="s">
        <v>779</v>
      </c>
      <c r="J154" s="79"/>
      <c r="K154" s="79"/>
      <c r="L154" s="79"/>
      <c r="M154" s="79"/>
      <c r="N154" s="79"/>
      <c r="O154" s="79"/>
      <c r="P154" s="79"/>
      <c r="Q154" s="7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row>
    <row r="155" spans="2:43" x14ac:dyDescent="0.35">
      <c r="F155" s="19" t="s">
        <v>156</v>
      </c>
      <c r="G155" s="19" t="s">
        <v>269</v>
      </c>
      <c r="H155" s="371"/>
      <c r="I155" s="255"/>
      <c r="J155" s="267">
        <f>'Inputs by customer type'!J198</f>
        <v>0</v>
      </c>
      <c r="K155" s="267">
        <f>'Inputs by customer type'!K198</f>
        <v>0</v>
      </c>
      <c r="L155" s="267">
        <f>'Inputs by customer type'!L198</f>
        <v>0</v>
      </c>
      <c r="M155" s="267">
        <f>'Inputs by customer type'!M198</f>
        <v>0</v>
      </c>
      <c r="N155" s="267">
        <f>'Inputs by customer type'!N198</f>
        <v>0</v>
      </c>
      <c r="O155" s="267">
        <f>'Inputs by customer type'!O198</f>
        <v>0</v>
      </c>
      <c r="P155" s="267">
        <f>'Inputs by customer type'!P198</f>
        <v>0</v>
      </c>
      <c r="Q155" s="267">
        <f>'Inputs by customer type'!Q198</f>
        <v>0</v>
      </c>
      <c r="R155" s="267">
        <f>'Inputs by customer type'!R198</f>
        <v>0</v>
      </c>
      <c r="S155" s="267">
        <f>'Inputs by customer type'!S198</f>
        <v>0</v>
      </c>
      <c r="T155" s="267">
        <f>'Inputs by customer type'!T198</f>
        <v>0</v>
      </c>
      <c r="U155" s="267">
        <f>'Inputs by customer type'!U198</f>
        <v>0</v>
      </c>
      <c r="V155" s="267">
        <f>'Inputs by customer type'!V198</f>
        <v>0</v>
      </c>
      <c r="W155" s="267">
        <f>'Inputs by customer type'!W198</f>
        <v>0</v>
      </c>
      <c r="X155" s="267">
        <f>'Inputs by customer type'!X198</f>
        <v>0</v>
      </c>
      <c r="Y155" s="267">
        <f>'Inputs by customer type'!Y198</f>
        <v>0</v>
      </c>
      <c r="Z155" s="267">
        <f>'Inputs by customer type'!Z198</f>
        <v>0</v>
      </c>
      <c r="AA155" s="267">
        <f>'Inputs by customer type'!AA198</f>
        <v>0</v>
      </c>
      <c r="AB155" s="267">
        <f>'Inputs by customer type'!AB198</f>
        <v>0</v>
      </c>
      <c r="AC155" s="267">
        <f>'Inputs by customer type'!AC198</f>
        <v>0</v>
      </c>
      <c r="AD155" s="267">
        <f>'Inputs by customer type'!AD198</f>
        <v>0</v>
      </c>
      <c r="AE155" s="267">
        <f>'Inputs by customer type'!AE198</f>
        <v>0</v>
      </c>
      <c r="AF155" s="267">
        <f>'Inputs by customer type'!AF198</f>
        <v>0</v>
      </c>
      <c r="AG155" s="267">
        <f>'Inputs by customer type'!AG198</f>
        <v>0</v>
      </c>
      <c r="AH155" s="267">
        <f>'Inputs by customer type'!AH198</f>
        <v>0</v>
      </c>
      <c r="AI155" s="267">
        <f>'Inputs by customer type'!AI198</f>
        <v>0</v>
      </c>
      <c r="AJ155" s="267">
        <f>'Inputs by customer type'!AJ198</f>
        <v>0</v>
      </c>
      <c r="AK155" s="267">
        <f>'Inputs by customer type'!AK198</f>
        <v>0</v>
      </c>
      <c r="AL155" s="267">
        <f>'Inputs by customer type'!AL198</f>
        <v>0</v>
      </c>
      <c r="AM155" s="267">
        <f>'Inputs by customer type'!AM198</f>
        <v>0</v>
      </c>
      <c r="AN155" s="267">
        <f>'Inputs by customer type'!AN198</f>
        <v>0</v>
      </c>
      <c r="AO155" s="267">
        <f>'Inputs by customer type'!AO198</f>
        <v>0</v>
      </c>
      <c r="AP155" s="256"/>
      <c r="AQ155" s="256"/>
    </row>
    <row r="156" spans="2:43" x14ac:dyDescent="0.35">
      <c r="E156" s="23"/>
      <c r="F156" t="s">
        <v>157</v>
      </c>
      <c r="G156" t="s">
        <v>269</v>
      </c>
      <c r="H156" s="372"/>
      <c r="I156" s="256"/>
      <c r="J156" s="268">
        <f>'Inputs by customer type'!J199</f>
        <v>0</v>
      </c>
      <c r="K156" s="268">
        <f>'Inputs by customer type'!K199</f>
        <v>0</v>
      </c>
      <c r="L156" s="268">
        <f>'Inputs by customer type'!L199</f>
        <v>0</v>
      </c>
      <c r="M156" s="268">
        <f>'Inputs by customer type'!M199</f>
        <v>0</v>
      </c>
      <c r="N156" s="268">
        <f>'Inputs by customer type'!N199</f>
        <v>0</v>
      </c>
      <c r="O156" s="268">
        <f>'Inputs by customer type'!O199</f>
        <v>0</v>
      </c>
      <c r="P156" s="268">
        <f>'Inputs by customer type'!P199</f>
        <v>0</v>
      </c>
      <c r="Q156" s="268">
        <f>'Inputs by customer type'!Q199</f>
        <v>0</v>
      </c>
      <c r="R156" s="268">
        <f>'Inputs by customer type'!R199</f>
        <v>0</v>
      </c>
      <c r="S156" s="268">
        <f>'Inputs by customer type'!S199</f>
        <v>0</v>
      </c>
      <c r="T156" s="268">
        <f>'Inputs by customer type'!T199</f>
        <v>0</v>
      </c>
      <c r="U156" s="268">
        <f>'Inputs by customer type'!U199</f>
        <v>0</v>
      </c>
      <c r="V156" s="268">
        <f>'Inputs by customer type'!V199</f>
        <v>0</v>
      </c>
      <c r="W156" s="268">
        <f>'Inputs by customer type'!W199</f>
        <v>0</v>
      </c>
      <c r="X156" s="268">
        <f>'Inputs by customer type'!X199</f>
        <v>0</v>
      </c>
      <c r="Y156" s="268">
        <f>'Inputs by customer type'!Y199</f>
        <v>0</v>
      </c>
      <c r="Z156" s="268">
        <f>'Inputs by customer type'!Z199</f>
        <v>0</v>
      </c>
      <c r="AA156" s="268">
        <f>'Inputs by customer type'!AA199</f>
        <v>0</v>
      </c>
      <c r="AB156" s="268">
        <f>'Inputs by customer type'!AB199</f>
        <v>0</v>
      </c>
      <c r="AC156" s="268">
        <f>'Inputs by customer type'!AC199</f>
        <v>0</v>
      </c>
      <c r="AD156" s="268">
        <f>'Inputs by customer type'!AD199</f>
        <v>0</v>
      </c>
      <c r="AE156" s="268">
        <f>'Inputs by customer type'!AE199</f>
        <v>0</v>
      </c>
      <c r="AF156" s="268">
        <f>'Inputs by customer type'!AF199</f>
        <v>0</v>
      </c>
      <c r="AG156" s="268">
        <f>'Inputs by customer type'!AG199</f>
        <v>0</v>
      </c>
      <c r="AH156" s="268">
        <f>'Inputs by customer type'!AH199</f>
        <v>0</v>
      </c>
      <c r="AI156" s="268">
        <f>'Inputs by customer type'!AI199</f>
        <v>0</v>
      </c>
      <c r="AJ156" s="268">
        <f>'Inputs by customer type'!AJ199</f>
        <v>0</v>
      </c>
      <c r="AK156" s="268">
        <f>'Inputs by customer type'!AK199</f>
        <v>0</v>
      </c>
      <c r="AL156" s="268">
        <f>'Inputs by customer type'!AL199</f>
        <v>0</v>
      </c>
      <c r="AM156" s="268">
        <f>'Inputs by customer type'!AM199</f>
        <v>0</v>
      </c>
      <c r="AN156" s="268">
        <f>'Inputs by customer type'!AN199</f>
        <v>0</v>
      </c>
      <c r="AO156" s="268">
        <f>'Inputs by customer type'!AO199</f>
        <v>0</v>
      </c>
      <c r="AP156" s="256"/>
      <c r="AQ156" s="256"/>
    </row>
    <row r="157" spans="2:43" x14ac:dyDescent="0.35">
      <c r="E157" s="23"/>
      <c r="F157" t="s">
        <v>158</v>
      </c>
      <c r="G157" t="s">
        <v>269</v>
      </c>
      <c r="H157" s="372"/>
      <c r="I157" s="256"/>
      <c r="J157" s="268">
        <f>'Inputs by customer type'!J200</f>
        <v>0</v>
      </c>
      <c r="K157" s="268">
        <f>'Inputs by customer type'!K200</f>
        <v>0</v>
      </c>
      <c r="L157" s="268">
        <f>'Inputs by customer type'!L200</f>
        <v>0</v>
      </c>
      <c r="M157" s="268">
        <f>'Inputs by customer type'!M200</f>
        <v>0</v>
      </c>
      <c r="N157" s="268">
        <f>'Inputs by customer type'!N200</f>
        <v>0</v>
      </c>
      <c r="O157" s="268">
        <f>'Inputs by customer type'!O200</f>
        <v>0</v>
      </c>
      <c r="P157" s="268">
        <f>'Inputs by customer type'!P200</f>
        <v>0</v>
      </c>
      <c r="Q157" s="268">
        <f>'Inputs by customer type'!Q200</f>
        <v>0</v>
      </c>
      <c r="R157" s="268">
        <f>'Inputs by customer type'!R200</f>
        <v>0</v>
      </c>
      <c r="S157" s="268">
        <f>'Inputs by customer type'!S200</f>
        <v>0</v>
      </c>
      <c r="T157" s="268">
        <f>'Inputs by customer type'!T200</f>
        <v>0</v>
      </c>
      <c r="U157" s="268">
        <f>'Inputs by customer type'!U200</f>
        <v>0</v>
      </c>
      <c r="V157" s="268">
        <f>'Inputs by customer type'!V200</f>
        <v>0</v>
      </c>
      <c r="W157" s="268">
        <f>'Inputs by customer type'!W200</f>
        <v>0</v>
      </c>
      <c r="X157" s="268">
        <f>'Inputs by customer type'!X200</f>
        <v>0</v>
      </c>
      <c r="Y157" s="268">
        <f>'Inputs by customer type'!Y200</f>
        <v>0</v>
      </c>
      <c r="Z157" s="268">
        <f>'Inputs by customer type'!Z200</f>
        <v>0</v>
      </c>
      <c r="AA157" s="268">
        <f>'Inputs by customer type'!AA200</f>
        <v>0</v>
      </c>
      <c r="AB157" s="268">
        <f>'Inputs by customer type'!AB200</f>
        <v>0</v>
      </c>
      <c r="AC157" s="268">
        <f>'Inputs by customer type'!AC200</f>
        <v>0</v>
      </c>
      <c r="AD157" s="268">
        <f>'Inputs by customer type'!AD200</f>
        <v>0</v>
      </c>
      <c r="AE157" s="268">
        <f>'Inputs by customer type'!AE200</f>
        <v>0</v>
      </c>
      <c r="AF157" s="268">
        <f>'Inputs by customer type'!AF200</f>
        <v>0</v>
      </c>
      <c r="AG157" s="268">
        <f>'Inputs by customer type'!AG200</f>
        <v>0</v>
      </c>
      <c r="AH157" s="268">
        <f>'Inputs by customer type'!AH200</f>
        <v>0</v>
      </c>
      <c r="AI157" s="268">
        <f>'Inputs by customer type'!AI200</f>
        <v>0</v>
      </c>
      <c r="AJ157" s="268">
        <f>'Inputs by customer type'!AJ200</f>
        <v>0</v>
      </c>
      <c r="AK157" s="268">
        <f>'Inputs by customer type'!AK200</f>
        <v>0</v>
      </c>
      <c r="AL157" s="268">
        <f>'Inputs by customer type'!AL200</f>
        <v>0</v>
      </c>
      <c r="AM157" s="268">
        <f>'Inputs by customer type'!AM200</f>
        <v>0</v>
      </c>
      <c r="AN157" s="268">
        <f>'Inputs by customer type'!AN200</f>
        <v>0</v>
      </c>
      <c r="AO157" s="268">
        <f>'Inputs by customer type'!AO200</f>
        <v>0</v>
      </c>
      <c r="AP157" s="256"/>
      <c r="AQ157" s="256"/>
    </row>
    <row r="158" spans="2:43" x14ac:dyDescent="0.35">
      <c r="E158" s="23"/>
      <c r="F158" t="s">
        <v>159</v>
      </c>
      <c r="G158" t="s">
        <v>270</v>
      </c>
      <c r="H158" s="372"/>
      <c r="J158" s="110">
        <f>'Inputs by customer type'!J201</f>
        <v>0</v>
      </c>
      <c r="K158" s="110">
        <f>'Inputs by customer type'!K201</f>
        <v>0</v>
      </c>
      <c r="L158" s="110">
        <f>'Inputs by customer type'!L201</f>
        <v>0</v>
      </c>
      <c r="M158" s="110">
        <f>'Inputs by customer type'!M201</f>
        <v>0</v>
      </c>
      <c r="N158" s="110">
        <f>'Inputs by customer type'!N201</f>
        <v>0</v>
      </c>
      <c r="O158" s="110">
        <f>'Inputs by customer type'!O201</f>
        <v>0</v>
      </c>
      <c r="P158" s="110">
        <f>'Inputs by customer type'!P201</f>
        <v>0</v>
      </c>
      <c r="Q158" s="110">
        <f>'Inputs by customer type'!Q201</f>
        <v>0</v>
      </c>
      <c r="R158" s="110">
        <f>'Inputs by customer type'!R201</f>
        <v>0</v>
      </c>
      <c r="S158" s="110">
        <f>'Inputs by customer type'!S201</f>
        <v>0</v>
      </c>
      <c r="T158" s="110">
        <f>'Inputs by customer type'!T201</f>
        <v>0</v>
      </c>
      <c r="U158" s="110">
        <f>'Inputs by customer type'!U201</f>
        <v>0</v>
      </c>
      <c r="V158" s="110">
        <f>'Inputs by customer type'!V201</f>
        <v>0</v>
      </c>
      <c r="W158" s="110">
        <f>'Inputs by customer type'!W201</f>
        <v>0</v>
      </c>
      <c r="X158" s="110">
        <f>'Inputs by customer type'!X201</f>
        <v>0</v>
      </c>
      <c r="Y158" s="110">
        <f>'Inputs by customer type'!Y201</f>
        <v>0</v>
      </c>
      <c r="Z158" s="110">
        <f>'Inputs by customer type'!Z201</f>
        <v>0</v>
      </c>
      <c r="AA158" s="110">
        <f>'Inputs by customer type'!AA201</f>
        <v>0</v>
      </c>
      <c r="AB158" s="110">
        <f>'Inputs by customer type'!AB201</f>
        <v>0</v>
      </c>
      <c r="AC158" s="110">
        <f>'Inputs by customer type'!AC201</f>
        <v>0</v>
      </c>
      <c r="AD158" s="110">
        <f>'Inputs by customer type'!AD201</f>
        <v>0</v>
      </c>
      <c r="AE158" s="110">
        <f>'Inputs by customer type'!AE201</f>
        <v>0</v>
      </c>
      <c r="AF158" s="110">
        <f>'Inputs by customer type'!AF201</f>
        <v>0</v>
      </c>
      <c r="AG158" s="110">
        <f>'Inputs by customer type'!AG201</f>
        <v>0</v>
      </c>
      <c r="AH158" s="110">
        <f>'Inputs by customer type'!AH201</f>
        <v>0</v>
      </c>
      <c r="AI158" s="110">
        <f>'Inputs by customer type'!AI201</f>
        <v>0</v>
      </c>
      <c r="AJ158" s="110">
        <f>'Inputs by customer type'!AJ201</f>
        <v>0</v>
      </c>
      <c r="AK158" s="110">
        <f>'Inputs by customer type'!AK201</f>
        <v>0</v>
      </c>
      <c r="AL158" s="110">
        <f>'Inputs by customer type'!AL201</f>
        <v>0</v>
      </c>
      <c r="AM158" s="110">
        <f>'Inputs by customer type'!AM201</f>
        <v>0</v>
      </c>
      <c r="AN158" s="110">
        <f>'Inputs by customer type'!AN201</f>
        <v>0</v>
      </c>
      <c r="AO158" s="110">
        <f>'Inputs by customer type'!AO201</f>
        <v>0</v>
      </c>
    </row>
    <row r="159" spans="2:43" x14ac:dyDescent="0.35">
      <c r="E159" s="23"/>
      <c r="F159" t="s">
        <v>160</v>
      </c>
      <c r="G159" t="s">
        <v>271</v>
      </c>
      <c r="H159" s="372"/>
      <c r="J159" s="110">
        <f>'Inputs by customer type'!J202</f>
        <v>0</v>
      </c>
      <c r="K159" s="110">
        <f>'Inputs by customer type'!K202</f>
        <v>0</v>
      </c>
      <c r="L159" s="110">
        <f>'Inputs by customer type'!L202</f>
        <v>0</v>
      </c>
      <c r="M159" s="110">
        <f>'Inputs by customer type'!M202</f>
        <v>0</v>
      </c>
      <c r="N159" s="110">
        <f>'Inputs by customer type'!N202</f>
        <v>0</v>
      </c>
      <c r="O159" s="110">
        <f>'Inputs by customer type'!O202</f>
        <v>0</v>
      </c>
      <c r="P159" s="110">
        <f>'Inputs by customer type'!P202</f>
        <v>0</v>
      </c>
      <c r="Q159" s="110">
        <f>'Inputs by customer type'!Q202</f>
        <v>0</v>
      </c>
      <c r="R159" s="110">
        <f>'Inputs by customer type'!R202</f>
        <v>0</v>
      </c>
      <c r="S159" s="110">
        <f>'Inputs by customer type'!S202</f>
        <v>0</v>
      </c>
      <c r="T159" s="110">
        <f>'Inputs by customer type'!T202</f>
        <v>0</v>
      </c>
      <c r="U159" s="110">
        <f>'Inputs by customer type'!U202</f>
        <v>0</v>
      </c>
      <c r="V159" s="110">
        <f>'Inputs by customer type'!V202</f>
        <v>0</v>
      </c>
      <c r="W159" s="110">
        <f>'Inputs by customer type'!W202</f>
        <v>0</v>
      </c>
      <c r="X159" s="110">
        <f>'Inputs by customer type'!X202</f>
        <v>0</v>
      </c>
      <c r="Y159" s="110">
        <f>'Inputs by customer type'!Y202</f>
        <v>0</v>
      </c>
      <c r="Z159" s="110">
        <f>'Inputs by customer type'!Z202</f>
        <v>0</v>
      </c>
      <c r="AA159" s="110">
        <f>'Inputs by customer type'!AA202</f>
        <v>0</v>
      </c>
      <c r="AB159" s="110">
        <f>'Inputs by customer type'!AB202</f>
        <v>0</v>
      </c>
      <c r="AC159" s="110">
        <f>'Inputs by customer type'!AC202</f>
        <v>0</v>
      </c>
      <c r="AD159" s="110">
        <f>'Inputs by customer type'!AD202</f>
        <v>0</v>
      </c>
      <c r="AE159" s="110">
        <f>'Inputs by customer type'!AE202</f>
        <v>0</v>
      </c>
      <c r="AF159" s="110">
        <f>'Inputs by customer type'!AF202</f>
        <v>0</v>
      </c>
      <c r="AG159" s="110">
        <f>'Inputs by customer type'!AG202</f>
        <v>0</v>
      </c>
      <c r="AH159" s="110">
        <f>'Inputs by customer type'!AH202</f>
        <v>0</v>
      </c>
      <c r="AI159" s="110">
        <f>'Inputs by customer type'!AI202</f>
        <v>0</v>
      </c>
      <c r="AJ159" s="110">
        <f>'Inputs by customer type'!AJ202</f>
        <v>0</v>
      </c>
      <c r="AK159" s="110">
        <f>'Inputs by customer type'!AK202</f>
        <v>0</v>
      </c>
      <c r="AL159" s="110">
        <f>'Inputs by customer type'!AL202</f>
        <v>0</v>
      </c>
      <c r="AM159" s="110">
        <f>'Inputs by customer type'!AM202</f>
        <v>0</v>
      </c>
      <c r="AN159" s="110">
        <f>'Inputs by customer type'!AN202</f>
        <v>0</v>
      </c>
      <c r="AO159" s="110">
        <f>'Inputs by customer type'!AO202</f>
        <v>0</v>
      </c>
    </row>
    <row r="160" spans="2:43" x14ac:dyDescent="0.35">
      <c r="E160" s="23"/>
      <c r="F160" t="s">
        <v>161</v>
      </c>
      <c r="G160" t="s">
        <v>271</v>
      </c>
      <c r="H160" s="372"/>
      <c r="J160" s="110">
        <f>'Inputs by customer type'!J203</f>
        <v>0</v>
      </c>
      <c r="K160" s="110">
        <f>'Inputs by customer type'!K203</f>
        <v>0</v>
      </c>
      <c r="L160" s="110">
        <f>'Inputs by customer type'!L203</f>
        <v>0</v>
      </c>
      <c r="M160" s="110">
        <f>'Inputs by customer type'!M203</f>
        <v>0</v>
      </c>
      <c r="N160" s="110">
        <f>'Inputs by customer type'!N203</f>
        <v>0</v>
      </c>
      <c r="O160" s="110">
        <f>'Inputs by customer type'!O203</f>
        <v>0</v>
      </c>
      <c r="P160" s="110">
        <f>'Inputs by customer type'!P203</f>
        <v>0</v>
      </c>
      <c r="Q160" s="110">
        <f>'Inputs by customer type'!Q203</f>
        <v>0</v>
      </c>
      <c r="R160" s="110">
        <f>'Inputs by customer type'!R203</f>
        <v>0</v>
      </c>
      <c r="S160" s="110">
        <f>'Inputs by customer type'!S203</f>
        <v>0</v>
      </c>
      <c r="T160" s="110">
        <f>'Inputs by customer type'!T203</f>
        <v>0</v>
      </c>
      <c r="U160" s="110">
        <f>'Inputs by customer type'!U203</f>
        <v>0</v>
      </c>
      <c r="V160" s="110">
        <f>'Inputs by customer type'!V203</f>
        <v>0</v>
      </c>
      <c r="W160" s="110">
        <f>'Inputs by customer type'!W203</f>
        <v>0</v>
      </c>
      <c r="X160" s="110">
        <f>'Inputs by customer type'!X203</f>
        <v>0</v>
      </c>
      <c r="Y160" s="110">
        <f>'Inputs by customer type'!Y203</f>
        <v>0</v>
      </c>
      <c r="Z160" s="110">
        <f>'Inputs by customer type'!Z203</f>
        <v>0</v>
      </c>
      <c r="AA160" s="110">
        <f>'Inputs by customer type'!AA203</f>
        <v>0</v>
      </c>
      <c r="AB160" s="110">
        <f>'Inputs by customer type'!AB203</f>
        <v>0</v>
      </c>
      <c r="AC160" s="110">
        <f>'Inputs by customer type'!AC203</f>
        <v>0</v>
      </c>
      <c r="AD160" s="110">
        <f>'Inputs by customer type'!AD203</f>
        <v>0</v>
      </c>
      <c r="AE160" s="110">
        <f>'Inputs by customer type'!AE203</f>
        <v>0</v>
      </c>
      <c r="AF160" s="110">
        <f>'Inputs by customer type'!AF203</f>
        <v>0</v>
      </c>
      <c r="AG160" s="110">
        <f>'Inputs by customer type'!AG203</f>
        <v>0</v>
      </c>
      <c r="AH160" s="110">
        <f>'Inputs by customer type'!AH203</f>
        <v>0</v>
      </c>
      <c r="AI160" s="110">
        <f>'Inputs by customer type'!AI203</f>
        <v>0</v>
      </c>
      <c r="AJ160" s="110">
        <f>'Inputs by customer type'!AJ203</f>
        <v>0</v>
      </c>
      <c r="AK160" s="110">
        <f>'Inputs by customer type'!AK203</f>
        <v>0</v>
      </c>
      <c r="AL160" s="110">
        <f>'Inputs by customer type'!AL203</f>
        <v>0</v>
      </c>
      <c r="AM160" s="110">
        <f>'Inputs by customer type'!AM203</f>
        <v>0</v>
      </c>
      <c r="AN160" s="110">
        <f>'Inputs by customer type'!AN203</f>
        <v>0</v>
      </c>
      <c r="AO160" s="110">
        <f>'Inputs by customer type'!AO203</f>
        <v>0</v>
      </c>
    </row>
    <row r="161" spans="2:43" x14ac:dyDescent="0.35">
      <c r="E161" s="23"/>
      <c r="F161" s="28" t="s">
        <v>162</v>
      </c>
      <c r="G161" s="28" t="s">
        <v>272</v>
      </c>
      <c r="H161" s="373"/>
      <c r="I161" s="258"/>
      <c r="J161" s="272">
        <f>'Inputs by customer type'!J204</f>
        <v>0</v>
      </c>
      <c r="K161" s="272">
        <f>'Inputs by customer type'!K204</f>
        <v>0</v>
      </c>
      <c r="L161" s="272">
        <f>'Inputs by customer type'!L204</f>
        <v>0</v>
      </c>
      <c r="M161" s="272">
        <f>'Inputs by customer type'!M204</f>
        <v>0</v>
      </c>
      <c r="N161" s="272">
        <f>'Inputs by customer type'!N204</f>
        <v>0</v>
      </c>
      <c r="O161" s="272">
        <f>'Inputs by customer type'!O204</f>
        <v>0</v>
      </c>
      <c r="P161" s="272">
        <f>'Inputs by customer type'!P204</f>
        <v>0</v>
      </c>
      <c r="Q161" s="272">
        <f>'Inputs by customer type'!Q204</f>
        <v>0</v>
      </c>
      <c r="R161" s="272">
        <f>'Inputs by customer type'!R204</f>
        <v>0</v>
      </c>
      <c r="S161" s="272">
        <f>'Inputs by customer type'!S204</f>
        <v>0</v>
      </c>
      <c r="T161" s="272">
        <f>'Inputs by customer type'!T204</f>
        <v>0</v>
      </c>
      <c r="U161" s="272">
        <f>'Inputs by customer type'!U204</f>
        <v>0</v>
      </c>
      <c r="V161" s="272">
        <f>'Inputs by customer type'!V204</f>
        <v>0</v>
      </c>
      <c r="W161" s="272">
        <f>'Inputs by customer type'!W204</f>
        <v>0</v>
      </c>
      <c r="X161" s="272">
        <f>'Inputs by customer type'!X204</f>
        <v>0</v>
      </c>
      <c r="Y161" s="272">
        <f>'Inputs by customer type'!Y204</f>
        <v>0</v>
      </c>
      <c r="Z161" s="272">
        <f>'Inputs by customer type'!Z204</f>
        <v>0</v>
      </c>
      <c r="AA161" s="272">
        <f>'Inputs by customer type'!AA204</f>
        <v>0</v>
      </c>
      <c r="AB161" s="272">
        <f>'Inputs by customer type'!AB204</f>
        <v>0</v>
      </c>
      <c r="AC161" s="272">
        <f>'Inputs by customer type'!AC204</f>
        <v>0</v>
      </c>
      <c r="AD161" s="272">
        <f>'Inputs by customer type'!AD204</f>
        <v>0</v>
      </c>
      <c r="AE161" s="272">
        <f>'Inputs by customer type'!AE204</f>
        <v>0</v>
      </c>
      <c r="AF161" s="272">
        <f>'Inputs by customer type'!AF204</f>
        <v>0</v>
      </c>
      <c r="AG161" s="272">
        <f>'Inputs by customer type'!AG204</f>
        <v>0</v>
      </c>
      <c r="AH161" s="272">
        <f>'Inputs by customer type'!AH204</f>
        <v>0</v>
      </c>
      <c r="AI161" s="272">
        <f>'Inputs by customer type'!AI204</f>
        <v>0</v>
      </c>
      <c r="AJ161" s="272">
        <f>'Inputs by customer type'!AJ204</f>
        <v>0</v>
      </c>
      <c r="AK161" s="272">
        <f>'Inputs by customer type'!AK204</f>
        <v>0</v>
      </c>
      <c r="AL161" s="272">
        <f>'Inputs by customer type'!AL204</f>
        <v>0</v>
      </c>
      <c r="AM161" s="272">
        <f>'Inputs by customer type'!AM204</f>
        <v>0</v>
      </c>
      <c r="AN161" s="272">
        <f>'Inputs by customer type'!AN204</f>
        <v>0</v>
      </c>
      <c r="AO161" s="272">
        <f>'Inputs by customer type'!AO204</f>
        <v>0</v>
      </c>
      <c r="AP161" s="256"/>
      <c r="AQ161" s="256"/>
    </row>
    <row r="162" spans="2:43" x14ac:dyDescent="0.35">
      <c r="D162" s="23"/>
      <c r="E162" s="62"/>
      <c r="F162" s="62"/>
      <c r="G162" s="62"/>
      <c r="J162" s="79"/>
      <c r="K162" s="79"/>
      <c r="L162" s="79"/>
      <c r="M162" s="79"/>
      <c r="N162" s="79"/>
      <c r="O162" s="79"/>
      <c r="P162" s="79"/>
      <c r="Q162" s="79"/>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row>
    <row r="163" spans="2:43" x14ac:dyDescent="0.35">
      <c r="C163" s="26" t="str">
        <f ca="1">INDEX('Version control'!$H$38:$H$61,MATCH($A$1,'Version control'!$F$38:$F$61,0),1)&amp;"-I: Previous year net revenue from all the way tariff forecast"</f>
        <v>Section 118-I: Previous year net revenue from all the way tariff forecast</v>
      </c>
      <c r="D163" s="26"/>
      <c r="E163" s="26"/>
      <c r="F163" s="26"/>
      <c r="G163" s="26"/>
      <c r="H163" s="26"/>
      <c r="I163" s="26"/>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26"/>
      <c r="AQ163" s="26"/>
    </row>
    <row r="164" spans="2:43" x14ac:dyDescent="0.35">
      <c r="D164" s="27"/>
      <c r="J164" s="79"/>
      <c r="K164" s="79"/>
      <c r="L164" s="79"/>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row>
    <row r="165" spans="2:43" x14ac:dyDescent="0.35">
      <c r="D165" s="24" t="s">
        <v>780</v>
      </c>
      <c r="J165" s="79"/>
      <c r="K165" s="79"/>
      <c r="L165" s="79"/>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79"/>
      <c r="AJ165" s="79"/>
      <c r="AK165" s="79"/>
      <c r="AL165" s="79"/>
      <c r="AM165" s="79"/>
      <c r="AN165" s="79"/>
      <c r="AO165" s="79"/>
    </row>
    <row r="166" spans="2:43" x14ac:dyDescent="0.35">
      <c r="D166" s="81" t="s">
        <v>781</v>
      </c>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2:43" x14ac:dyDescent="0.35">
      <c r="C167" s="78"/>
      <c r="D167" s="2"/>
      <c r="E167" s="2"/>
      <c r="G167" s="12"/>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row>
    <row r="168" spans="2:43" x14ac:dyDescent="0.35">
      <c r="E168" s="98" t="s">
        <v>782</v>
      </c>
      <c r="F168" s="98"/>
      <c r="G168" s="98" t="s">
        <v>277</v>
      </c>
      <c r="H168" s="98"/>
      <c r="I168" s="98"/>
      <c r="J168" s="207">
        <f>'Inputs by customer type'!J213</f>
        <v>0</v>
      </c>
      <c r="K168" s="207">
        <f>'Inputs by customer type'!K213</f>
        <v>0</v>
      </c>
      <c r="L168" s="207">
        <f>'Inputs by customer type'!L213</f>
        <v>0</v>
      </c>
      <c r="M168" s="207">
        <f>'Inputs by customer type'!M213</f>
        <v>0</v>
      </c>
      <c r="N168" s="207">
        <f>'Inputs by customer type'!N213</f>
        <v>0</v>
      </c>
      <c r="O168" s="207">
        <f>'Inputs by customer type'!O213</f>
        <v>0</v>
      </c>
      <c r="P168" s="207">
        <f>'Inputs by customer type'!P213</f>
        <v>0</v>
      </c>
      <c r="Q168" s="207">
        <f>'Inputs by customer type'!Q213</f>
        <v>0</v>
      </c>
      <c r="R168" s="207">
        <f>'Inputs by customer type'!R213</f>
        <v>0</v>
      </c>
      <c r="S168" s="207">
        <f>'Inputs by customer type'!S213</f>
        <v>0</v>
      </c>
      <c r="T168" s="207">
        <f>'Inputs by customer type'!T213</f>
        <v>0</v>
      </c>
      <c r="U168" s="207">
        <f>'Inputs by customer type'!U213</f>
        <v>0</v>
      </c>
      <c r="V168" s="207">
        <f>'Inputs by customer type'!V213</f>
        <v>0</v>
      </c>
      <c r="W168" s="207">
        <f>'Inputs by customer type'!W213</f>
        <v>0</v>
      </c>
      <c r="X168" s="207">
        <f>'Inputs by customer type'!X213</f>
        <v>0</v>
      </c>
      <c r="Y168" s="207">
        <f>'Inputs by customer type'!Y213</f>
        <v>0</v>
      </c>
      <c r="Z168" s="207">
        <f>'Inputs by customer type'!Z213</f>
        <v>0</v>
      </c>
      <c r="AA168" s="207">
        <f>'Inputs by customer type'!AA213</f>
        <v>0</v>
      </c>
      <c r="AB168" s="207">
        <f>'Inputs by customer type'!AB213</f>
        <v>0</v>
      </c>
      <c r="AC168" s="207">
        <f>'Inputs by customer type'!AC213</f>
        <v>0</v>
      </c>
      <c r="AD168" s="207">
        <f>'Inputs by customer type'!AD213</f>
        <v>0</v>
      </c>
      <c r="AE168" s="207">
        <f>'Inputs by customer type'!AE213</f>
        <v>0</v>
      </c>
      <c r="AF168" s="207">
        <f>'Inputs by customer type'!AF213</f>
        <v>0</v>
      </c>
      <c r="AG168" s="207">
        <f>'Inputs by customer type'!AG213</f>
        <v>0</v>
      </c>
      <c r="AH168" s="207">
        <f>'Inputs by customer type'!AH213</f>
        <v>0</v>
      </c>
      <c r="AI168" s="207">
        <f>'Inputs by customer type'!AI213</f>
        <v>0</v>
      </c>
      <c r="AJ168" s="207">
        <f>'Inputs by customer type'!AJ213</f>
        <v>0</v>
      </c>
      <c r="AK168" s="207">
        <f>'Inputs by customer type'!AK213</f>
        <v>0</v>
      </c>
      <c r="AL168" s="207">
        <f>'Inputs by customer type'!AL213</f>
        <v>0</v>
      </c>
      <c r="AM168" s="207">
        <f>'Inputs by customer type'!AM213</f>
        <v>0</v>
      </c>
      <c r="AN168" s="207">
        <f>'Inputs by customer type'!AN213</f>
        <v>0</v>
      </c>
      <c r="AO168" s="207">
        <f>'Inputs by customer type'!AO213</f>
        <v>0</v>
      </c>
    </row>
    <row r="169" spans="2:43" x14ac:dyDescent="0.35">
      <c r="D169" s="23"/>
      <c r="E169" s="62"/>
      <c r="F169" s="62"/>
      <c r="G169" s="62"/>
      <c r="J169" s="79"/>
      <c r="K169" s="79"/>
      <c r="L169" s="79"/>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row>
    <row r="170" spans="2:43" x14ac:dyDescent="0.35">
      <c r="E170" t="s">
        <v>783</v>
      </c>
      <c r="G170" t="s">
        <v>277</v>
      </c>
      <c r="J170" s="88">
        <f t="shared" ref="J170:AO170" si="36">IF(J168 = 0, SUMPRODUCT(J25:J27, J158:J160) / hundred * days_in_year + ( SUMPRODUCT(J22:J24, J155:J157)  + J161*J28) * ten, J168)</f>
        <v>0</v>
      </c>
      <c r="K170" s="88">
        <f t="shared" si="36"/>
        <v>0</v>
      </c>
      <c r="L170" s="88">
        <f t="shared" si="36"/>
        <v>0</v>
      </c>
      <c r="M170" s="88">
        <f t="shared" si="36"/>
        <v>0</v>
      </c>
      <c r="N170" s="88">
        <f t="shared" si="36"/>
        <v>0</v>
      </c>
      <c r="O170" s="88">
        <f t="shared" si="36"/>
        <v>0</v>
      </c>
      <c r="P170" s="88">
        <f t="shared" si="36"/>
        <v>0</v>
      </c>
      <c r="Q170" s="88">
        <f t="shared" si="36"/>
        <v>0</v>
      </c>
      <c r="R170" s="88">
        <f t="shared" si="36"/>
        <v>0</v>
      </c>
      <c r="S170" s="88">
        <f t="shared" si="36"/>
        <v>0</v>
      </c>
      <c r="T170" s="88">
        <f t="shared" si="36"/>
        <v>0</v>
      </c>
      <c r="U170" s="88">
        <f t="shared" si="36"/>
        <v>0</v>
      </c>
      <c r="V170" s="88">
        <f t="shared" si="36"/>
        <v>0</v>
      </c>
      <c r="W170" s="88">
        <f t="shared" si="36"/>
        <v>0</v>
      </c>
      <c r="X170" s="88">
        <f t="shared" si="36"/>
        <v>0</v>
      </c>
      <c r="Y170" s="88">
        <f t="shared" si="36"/>
        <v>0</v>
      </c>
      <c r="Z170" s="88">
        <f t="shared" si="36"/>
        <v>0</v>
      </c>
      <c r="AA170" s="88">
        <f t="shared" si="36"/>
        <v>0</v>
      </c>
      <c r="AB170" s="88">
        <f t="shared" si="36"/>
        <v>0</v>
      </c>
      <c r="AC170" s="88">
        <f t="shared" si="36"/>
        <v>0</v>
      </c>
      <c r="AD170" s="88">
        <f t="shared" si="36"/>
        <v>0</v>
      </c>
      <c r="AE170" s="88">
        <f t="shared" si="36"/>
        <v>0</v>
      </c>
      <c r="AF170" s="88">
        <f t="shared" si="36"/>
        <v>0</v>
      </c>
      <c r="AG170" s="88">
        <f t="shared" si="36"/>
        <v>0</v>
      </c>
      <c r="AH170" s="88">
        <f t="shared" si="36"/>
        <v>0</v>
      </c>
      <c r="AI170" s="88">
        <f t="shared" si="36"/>
        <v>0</v>
      </c>
      <c r="AJ170" s="88">
        <f t="shared" si="36"/>
        <v>0</v>
      </c>
      <c r="AK170" s="88">
        <f t="shared" si="36"/>
        <v>0</v>
      </c>
      <c r="AL170" s="88">
        <f t="shared" si="36"/>
        <v>0</v>
      </c>
      <c r="AM170" s="88">
        <f t="shared" si="36"/>
        <v>0</v>
      </c>
      <c r="AN170" s="88">
        <f t="shared" si="36"/>
        <v>0</v>
      </c>
      <c r="AO170" s="88">
        <f t="shared" si="36"/>
        <v>0</v>
      </c>
    </row>
    <row r="171" spans="2:43" x14ac:dyDescent="0.35">
      <c r="F171" s="3"/>
      <c r="G171" s="202"/>
      <c r="H171" s="3"/>
      <c r="I171" s="3"/>
    </row>
    <row r="172" spans="2:43" x14ac:dyDescent="0.35">
      <c r="E172" t="s">
        <v>784</v>
      </c>
      <c r="G172" s="12" t="s">
        <v>167</v>
      </c>
      <c r="J172" s="399" t="str">
        <f t="shared" ref="J172:AH172" si="37">IF( J170 &lt;&gt; 0, (J102 - J170) / J170, "-")</f>
        <v>-</v>
      </c>
      <c r="K172" s="399" t="str">
        <f t="shared" si="37"/>
        <v>-</v>
      </c>
      <c r="L172" s="399" t="str">
        <f t="shared" si="37"/>
        <v>-</v>
      </c>
      <c r="M172" s="399" t="str">
        <f t="shared" si="37"/>
        <v>-</v>
      </c>
      <c r="N172" s="399" t="str">
        <f t="shared" si="37"/>
        <v>-</v>
      </c>
      <c r="O172" s="399" t="str">
        <f t="shared" si="37"/>
        <v>-</v>
      </c>
      <c r="P172" s="399" t="str">
        <f t="shared" si="37"/>
        <v>-</v>
      </c>
      <c r="Q172" s="399" t="str">
        <f t="shared" si="37"/>
        <v>-</v>
      </c>
      <c r="R172" s="399" t="str">
        <f t="shared" si="37"/>
        <v>-</v>
      </c>
      <c r="S172" s="399" t="str">
        <f t="shared" si="37"/>
        <v>-</v>
      </c>
      <c r="T172" s="399" t="str">
        <f t="shared" si="37"/>
        <v>-</v>
      </c>
      <c r="U172" s="399" t="str">
        <f t="shared" si="37"/>
        <v>-</v>
      </c>
      <c r="V172" s="399" t="str">
        <f t="shared" si="37"/>
        <v>-</v>
      </c>
      <c r="W172" s="399" t="str">
        <f t="shared" si="37"/>
        <v>-</v>
      </c>
      <c r="X172" s="399" t="str">
        <f t="shared" si="37"/>
        <v>-</v>
      </c>
      <c r="Y172" s="399" t="str">
        <f t="shared" si="37"/>
        <v>-</v>
      </c>
      <c r="Z172" s="399" t="str">
        <f t="shared" si="37"/>
        <v>-</v>
      </c>
      <c r="AA172" s="399" t="str">
        <f t="shared" si="37"/>
        <v>-</v>
      </c>
      <c r="AB172" s="399" t="str">
        <f t="shared" si="37"/>
        <v>-</v>
      </c>
      <c r="AC172" s="399" t="str">
        <f t="shared" si="37"/>
        <v>-</v>
      </c>
      <c r="AD172" s="399" t="str">
        <f t="shared" si="37"/>
        <v>-</v>
      </c>
      <c r="AE172" s="399" t="str">
        <f t="shared" si="37"/>
        <v>-</v>
      </c>
      <c r="AF172" s="399" t="str">
        <f t="shared" si="37"/>
        <v>-</v>
      </c>
      <c r="AG172" s="399" t="str">
        <f t="shared" si="37"/>
        <v>-</v>
      </c>
      <c r="AH172" s="399" t="str">
        <f t="shared" si="37"/>
        <v>-</v>
      </c>
      <c r="AI172" s="399" t="str">
        <f>IF( AI170 &lt;&gt; 0, (AI102 - AI170) / AI170, "-")</f>
        <v>-</v>
      </c>
      <c r="AJ172" s="399" t="str">
        <f t="shared" ref="AJ172:AO172" si="38">IF( AJ170 &lt;&gt; 0, (AJ102 - AJ170) / AJ170, "-")</f>
        <v>-</v>
      </c>
      <c r="AK172" s="399" t="str">
        <f t="shared" si="38"/>
        <v>-</v>
      </c>
      <c r="AL172" s="399" t="str">
        <f t="shared" si="38"/>
        <v>-</v>
      </c>
      <c r="AM172" s="399" t="str">
        <f t="shared" si="38"/>
        <v>-</v>
      </c>
      <c r="AN172" s="399" t="str">
        <f t="shared" si="38"/>
        <v>-</v>
      </c>
      <c r="AO172" s="399" t="str">
        <f t="shared" si="38"/>
        <v>-</v>
      </c>
    </row>
    <row r="173" spans="2:43" x14ac:dyDescent="0.35">
      <c r="C173" s="78"/>
      <c r="D173" s="2"/>
      <c r="E173" s="2"/>
      <c r="G173" s="12"/>
    </row>
    <row r="174" spans="2:43" x14ac:dyDescent="0.35">
      <c r="E174" t="s">
        <v>785</v>
      </c>
      <c r="G174" s="12" t="s">
        <v>269</v>
      </c>
      <c r="H174" s="256"/>
      <c r="I174" s="256"/>
      <c r="J174" s="264">
        <f t="shared" ref="J174:AO174" si="39" xml:space="preserve"> IF( SUM(J22:J24) = 0, "-", (J102 - J170) / SUM(J22:J24)/ ten)</f>
        <v>4.8442173042827683</v>
      </c>
      <c r="K174" s="264">
        <f t="shared" si="39"/>
        <v>0.40653110970693618</v>
      </c>
      <c r="L174" s="264">
        <f t="shared" si="39"/>
        <v>1.6866505335995636</v>
      </c>
      <c r="M174" s="264">
        <f t="shared" si="39"/>
        <v>5.0631701850488939</v>
      </c>
      <c r="N174" s="264">
        <f t="shared" si="39"/>
        <v>4.2637717747417616</v>
      </c>
      <c r="O174" s="264">
        <f t="shared" si="39"/>
        <v>3.9850323464897599</v>
      </c>
      <c r="P174" s="264">
        <f t="shared" si="39"/>
        <v>3.8637144350589088</v>
      </c>
      <c r="Q174" s="264">
        <f t="shared" si="39"/>
        <v>0.44912373306371373</v>
      </c>
      <c r="R174" s="264">
        <f t="shared" si="39"/>
        <v>2.348510393725995</v>
      </c>
      <c r="S174" s="264">
        <f t="shared" si="39"/>
        <v>4.5691192344238232</v>
      </c>
      <c r="T174" s="264">
        <f t="shared" si="39"/>
        <v>4.4882507459836791</v>
      </c>
      <c r="U174" s="264">
        <f t="shared" si="39"/>
        <v>4.4629385319600967</v>
      </c>
      <c r="V174" s="264">
        <f t="shared" si="39"/>
        <v>4.5498313160492438</v>
      </c>
      <c r="W174" s="264" t="str">
        <f t="shared" si="39"/>
        <v>-</v>
      </c>
      <c r="X174" s="264">
        <f t="shared" si="39"/>
        <v>2.5735193746575669</v>
      </c>
      <c r="Y174" s="264">
        <f t="shared" si="39"/>
        <v>2.665091658642579</v>
      </c>
      <c r="Z174" s="264">
        <f t="shared" si="39"/>
        <v>2.9805355586230466</v>
      </c>
      <c r="AA174" s="264">
        <f t="shared" si="39"/>
        <v>2.6265021404629554</v>
      </c>
      <c r="AB174" s="264">
        <f t="shared" si="39"/>
        <v>3.2123319813231666</v>
      </c>
      <c r="AC174" s="264">
        <f t="shared" si="39"/>
        <v>4.077472063280366</v>
      </c>
      <c r="AD174" s="264">
        <f t="shared" si="39"/>
        <v>3.9743944610795836</v>
      </c>
      <c r="AE174" s="264">
        <f t="shared" si="39"/>
        <v>3.9340926926899558</v>
      </c>
      <c r="AF174" s="264">
        <f t="shared" si="39"/>
        <v>3.9186671864675646</v>
      </c>
      <c r="AG174" s="264">
        <f t="shared" si="39"/>
        <v>6.6693440323330764</v>
      </c>
      <c r="AH174" s="264">
        <f t="shared" si="39"/>
        <v>-1.3026044542979685</v>
      </c>
      <c r="AI174" s="264">
        <f t="shared" si="39"/>
        <v>-1.0571907034927743</v>
      </c>
      <c r="AJ174" s="264">
        <f t="shared" si="39"/>
        <v>-1.0670983391089968</v>
      </c>
      <c r="AK174" s="264" t="str">
        <f t="shared" si="39"/>
        <v>-</v>
      </c>
      <c r="AL174" s="264" t="str">
        <f t="shared" si="39"/>
        <v>-</v>
      </c>
      <c r="AM174" s="264" t="str">
        <f t="shared" si="39"/>
        <v>-</v>
      </c>
      <c r="AN174" s="264">
        <f t="shared" si="39"/>
        <v>-0.58218719848144596</v>
      </c>
      <c r="AO174" s="264" t="str">
        <f t="shared" si="39"/>
        <v>-</v>
      </c>
      <c r="AP174" s="256"/>
      <c r="AQ174" s="256"/>
    </row>
    <row r="175" spans="2:43" x14ac:dyDescent="0.35">
      <c r="C175" s="78"/>
      <c r="D175" s="2"/>
      <c r="E175" s="2"/>
      <c r="G175" s="12"/>
    </row>
    <row r="176" spans="2:43" x14ac:dyDescent="0.35">
      <c r="B176" s="25" t="s">
        <v>786</v>
      </c>
      <c r="C176" s="25"/>
      <c r="D176" s="25"/>
      <c r="E176" s="25"/>
      <c r="F176" s="25"/>
      <c r="G176" s="82"/>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7" spans="3:43" x14ac:dyDescent="0.35">
      <c r="F177" s="3"/>
      <c r="G177" s="202"/>
      <c r="H177" s="3"/>
      <c r="I177" s="3"/>
    </row>
    <row r="178" spans="3:43" x14ac:dyDescent="0.35">
      <c r="C178" s="26" t="str">
        <f ca="1">INDEX('Version control'!$H$38:$H$61,MATCH($A$1,'Version control'!$F$38:$F$61,0),1)&amp;"-J: LDNO typical bills using all-the-way volumes"</f>
        <v>Section 118-J: LDNO typical bills using all-the-way volumes</v>
      </c>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row>
    <row r="179" spans="3:43" x14ac:dyDescent="0.35">
      <c r="C179" s="78"/>
      <c r="D179" s="2"/>
      <c r="E179" s="2"/>
      <c r="G179" s="12"/>
    </row>
    <row r="180" spans="3:43" x14ac:dyDescent="0.35">
      <c r="E180" s="27" t="s">
        <v>787</v>
      </c>
      <c r="G180" s="12"/>
      <c r="H180" s="118"/>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row>
    <row r="181" spans="3:43" x14ac:dyDescent="0.35">
      <c r="E181" s="24" t="s">
        <v>788</v>
      </c>
    </row>
    <row r="182" spans="3:43" x14ac:dyDescent="0.35">
      <c r="E182" s="23"/>
      <c r="F182" s="19" t="s">
        <v>156</v>
      </c>
      <c r="G182" s="75" t="s">
        <v>789</v>
      </c>
      <c r="H182" s="208"/>
      <c r="I182" s="19"/>
      <c r="J182" s="116">
        <f t="shared" ref="J182:AO182" si="40" xml:space="preserve"> IF( J$25 &lt;&gt; 0, J$22 * thousand * J64 / hundred / J$25, 0)</f>
        <v>23.957981382291745</v>
      </c>
      <c r="K182" s="116">
        <f t="shared" si="40"/>
        <v>0.63436159993034147</v>
      </c>
      <c r="L182" s="116">
        <f t="shared" si="40"/>
        <v>130.55919741485383</v>
      </c>
      <c r="M182" s="116">
        <f t="shared" si="40"/>
        <v>15.519723252952682</v>
      </c>
      <c r="N182" s="116">
        <f t="shared" si="40"/>
        <v>42.482184780667239</v>
      </c>
      <c r="O182" s="116">
        <f t="shared" si="40"/>
        <v>95.08096868860666</v>
      </c>
      <c r="P182" s="116">
        <f t="shared" si="40"/>
        <v>266.09180590309597</v>
      </c>
      <c r="Q182" s="116">
        <f t="shared" si="40"/>
        <v>7.2925104035944752</v>
      </c>
      <c r="R182" s="116">
        <f t="shared" si="40"/>
        <v>277.67410611536957</v>
      </c>
      <c r="S182" s="116">
        <f t="shared" si="40"/>
        <v>386.62052636249359</v>
      </c>
      <c r="T182" s="116">
        <f t="shared" si="40"/>
        <v>660.79754259140418</v>
      </c>
      <c r="U182" s="116">
        <f t="shared" si="40"/>
        <v>1118.3273493288727</v>
      </c>
      <c r="V182" s="116">
        <f t="shared" si="40"/>
        <v>2701.3222862369762</v>
      </c>
      <c r="W182" s="116">
        <f t="shared" si="40"/>
        <v>0</v>
      </c>
      <c r="X182" s="116">
        <f t="shared" si="40"/>
        <v>0</v>
      </c>
      <c r="Y182" s="116">
        <f t="shared" si="40"/>
        <v>0</v>
      </c>
      <c r="Z182" s="116">
        <f t="shared" si="40"/>
        <v>0</v>
      </c>
      <c r="AA182" s="116">
        <f t="shared" si="40"/>
        <v>0</v>
      </c>
      <c r="AB182" s="116">
        <f t="shared" si="40"/>
        <v>0</v>
      </c>
      <c r="AC182" s="116">
        <f t="shared" si="40"/>
        <v>0</v>
      </c>
      <c r="AD182" s="116">
        <f t="shared" si="40"/>
        <v>0</v>
      </c>
      <c r="AE182" s="116">
        <f t="shared" si="40"/>
        <v>0</v>
      </c>
      <c r="AF182" s="116">
        <f t="shared" si="40"/>
        <v>0</v>
      </c>
      <c r="AG182" s="116">
        <f t="shared" si="40"/>
        <v>403.95325086278956</v>
      </c>
      <c r="AH182" s="116">
        <f t="shared" si="40"/>
        <v>-7.1512715990851756</v>
      </c>
      <c r="AI182" s="116">
        <f t="shared" si="40"/>
        <v>0</v>
      </c>
      <c r="AJ182" s="116">
        <f t="shared" si="40"/>
        <v>-255.80905286149354</v>
      </c>
      <c r="AK182" s="116">
        <f t="shared" si="40"/>
        <v>0</v>
      </c>
      <c r="AL182" s="116">
        <f t="shared" si="40"/>
        <v>0</v>
      </c>
      <c r="AM182" s="116">
        <f t="shared" si="40"/>
        <v>0</v>
      </c>
      <c r="AN182" s="116">
        <f t="shared" si="40"/>
        <v>0</v>
      </c>
      <c r="AO182" s="116">
        <f t="shared" si="40"/>
        <v>0</v>
      </c>
    </row>
    <row r="183" spans="3:43" x14ac:dyDescent="0.35">
      <c r="E183" s="23"/>
      <c r="F183" t="s">
        <v>157</v>
      </c>
      <c r="G183" s="12" t="s">
        <v>789</v>
      </c>
      <c r="H183" s="92"/>
      <c r="J183" s="88">
        <f t="shared" ref="J183:AO183" si="41" xml:space="preserve"> IF( J$25 &lt;&gt; 0, J$23 * thousand * J65 / hundred / J$25, 0)</f>
        <v>13.365635343726465</v>
      </c>
      <c r="K183" s="88">
        <f t="shared" si="41"/>
        <v>9.1702239967109733</v>
      </c>
      <c r="L183" s="88">
        <f t="shared" si="41"/>
        <v>104.93944860696003</v>
      </c>
      <c r="M183" s="88">
        <f t="shared" si="41"/>
        <v>12.474273991762299</v>
      </c>
      <c r="N183" s="88">
        <f t="shared" si="41"/>
        <v>34.145867428524902</v>
      </c>
      <c r="O183" s="88">
        <f t="shared" si="41"/>
        <v>76.423144632955896</v>
      </c>
      <c r="P183" s="88">
        <f t="shared" si="41"/>
        <v>213.87637135646366</v>
      </c>
      <c r="Q183" s="88">
        <f t="shared" si="41"/>
        <v>12.033439923507665</v>
      </c>
      <c r="R183" s="88">
        <f t="shared" si="41"/>
        <v>175.04004000738138</v>
      </c>
      <c r="S183" s="88">
        <f t="shared" si="41"/>
        <v>243.71762044692841</v>
      </c>
      <c r="T183" s="88">
        <f t="shared" si="41"/>
        <v>416.55316698461309</v>
      </c>
      <c r="U183" s="88">
        <f t="shared" si="41"/>
        <v>704.97053796778073</v>
      </c>
      <c r="V183" s="88">
        <f t="shared" si="41"/>
        <v>1702.857957015601</v>
      </c>
      <c r="W183" s="88">
        <f t="shared" si="41"/>
        <v>0</v>
      </c>
      <c r="X183" s="88">
        <f t="shared" si="41"/>
        <v>0</v>
      </c>
      <c r="Y183" s="88">
        <f t="shared" si="41"/>
        <v>0</v>
      </c>
      <c r="Z183" s="88">
        <f t="shared" si="41"/>
        <v>0</v>
      </c>
      <c r="AA183" s="88">
        <f t="shared" si="41"/>
        <v>0</v>
      </c>
      <c r="AB183" s="88">
        <f t="shared" si="41"/>
        <v>0</v>
      </c>
      <c r="AC183" s="88">
        <f t="shared" si="41"/>
        <v>0</v>
      </c>
      <c r="AD183" s="88">
        <f t="shared" si="41"/>
        <v>0</v>
      </c>
      <c r="AE183" s="88">
        <f t="shared" si="41"/>
        <v>0</v>
      </c>
      <c r="AF183" s="88">
        <f t="shared" si="41"/>
        <v>0</v>
      </c>
      <c r="AG183" s="88">
        <f t="shared" si="41"/>
        <v>670.78526981531627</v>
      </c>
      <c r="AH183" s="88">
        <f t="shared" si="41"/>
        <v>-7.722553766380269</v>
      </c>
      <c r="AI183" s="88">
        <f t="shared" si="41"/>
        <v>0</v>
      </c>
      <c r="AJ183" s="88">
        <f t="shared" si="41"/>
        <v>-300.9671690715989</v>
      </c>
      <c r="AK183" s="88">
        <f t="shared" si="41"/>
        <v>0</v>
      </c>
      <c r="AL183" s="88">
        <f t="shared" si="41"/>
        <v>0</v>
      </c>
      <c r="AM183" s="88">
        <f t="shared" si="41"/>
        <v>0</v>
      </c>
      <c r="AN183" s="88">
        <f t="shared" si="41"/>
        <v>0</v>
      </c>
      <c r="AO183" s="88">
        <f t="shared" si="41"/>
        <v>0</v>
      </c>
    </row>
    <row r="184" spans="3:43" x14ac:dyDescent="0.35">
      <c r="E184" s="23"/>
      <c r="F184" t="s">
        <v>158</v>
      </c>
      <c r="G184" s="12" t="s">
        <v>789</v>
      </c>
      <c r="H184" s="92"/>
      <c r="J184" s="88">
        <f t="shared" ref="J184:AO184" si="42" xml:space="preserve"> IF( J$25 &lt;&gt; 0, J$24 * thousand * J66 / hundred / J$25, 0)</f>
        <v>0.35623437070884489</v>
      </c>
      <c r="K184" s="88">
        <f t="shared" si="42"/>
        <v>1.0849818768238617</v>
      </c>
      <c r="L184" s="88">
        <f t="shared" si="42"/>
        <v>2.4377662803280686</v>
      </c>
      <c r="M184" s="88">
        <f t="shared" si="42"/>
        <v>0.28978010569301454</v>
      </c>
      <c r="N184" s="88">
        <f t="shared" si="42"/>
        <v>0.79321594819481167</v>
      </c>
      <c r="O184" s="88">
        <f t="shared" si="42"/>
        <v>1.7753263190912036</v>
      </c>
      <c r="P184" s="88">
        <f t="shared" si="42"/>
        <v>4.968394756908709</v>
      </c>
      <c r="Q184" s="88">
        <f t="shared" si="42"/>
        <v>1.9201468011085494</v>
      </c>
      <c r="R184" s="88">
        <f t="shared" si="42"/>
        <v>4.5153249866114482</v>
      </c>
      <c r="S184" s="88">
        <f t="shared" si="42"/>
        <v>6.2869287577579094</v>
      </c>
      <c r="T184" s="88">
        <f t="shared" si="42"/>
        <v>10.745386730135795</v>
      </c>
      <c r="U184" s="88">
        <f t="shared" si="42"/>
        <v>18.185388239037206</v>
      </c>
      <c r="V184" s="88">
        <f t="shared" si="42"/>
        <v>43.926847146735255</v>
      </c>
      <c r="W184" s="88">
        <f t="shared" si="42"/>
        <v>0</v>
      </c>
      <c r="X184" s="88">
        <f t="shared" si="42"/>
        <v>0</v>
      </c>
      <c r="Y184" s="88">
        <f t="shared" si="42"/>
        <v>0</v>
      </c>
      <c r="Z184" s="88">
        <f t="shared" si="42"/>
        <v>0</v>
      </c>
      <c r="AA184" s="88">
        <f t="shared" si="42"/>
        <v>0</v>
      </c>
      <c r="AB184" s="88">
        <f t="shared" si="42"/>
        <v>0</v>
      </c>
      <c r="AC184" s="88">
        <f t="shared" si="42"/>
        <v>0</v>
      </c>
      <c r="AD184" s="88">
        <f t="shared" si="42"/>
        <v>0</v>
      </c>
      <c r="AE184" s="88">
        <f t="shared" si="42"/>
        <v>0</v>
      </c>
      <c r="AF184" s="88">
        <f t="shared" si="42"/>
        <v>0</v>
      </c>
      <c r="AG184" s="88">
        <f t="shared" si="42"/>
        <v>874.24681396805943</v>
      </c>
      <c r="AH184" s="88">
        <f t="shared" si="42"/>
        <v>-3.7878520212634437E-2</v>
      </c>
      <c r="AI184" s="88">
        <f t="shared" si="42"/>
        <v>0</v>
      </c>
      <c r="AJ184" s="88">
        <f t="shared" si="42"/>
        <v>-4.0278101884180586</v>
      </c>
      <c r="AK184" s="88">
        <f t="shared" si="42"/>
        <v>0</v>
      </c>
      <c r="AL184" s="88">
        <f t="shared" si="42"/>
        <v>0</v>
      </c>
      <c r="AM184" s="88">
        <f t="shared" si="42"/>
        <v>0</v>
      </c>
      <c r="AN184" s="88">
        <f t="shared" si="42"/>
        <v>0</v>
      </c>
      <c r="AO184" s="88">
        <f t="shared" si="42"/>
        <v>0</v>
      </c>
    </row>
    <row r="185" spans="3:43" x14ac:dyDescent="0.35">
      <c r="E185" s="23"/>
      <c r="F185" s="19" t="s">
        <v>159</v>
      </c>
      <c r="G185" s="75" t="s">
        <v>789</v>
      </c>
      <c r="H185" s="208"/>
      <c r="I185" s="19"/>
      <c r="J185" s="116">
        <f t="shared" ref="J185:AO185" si="43" xml:space="preserve"> IF( J$25 &lt;&gt; 0, J$25 * J67 * days_in_year / hundred / J$25, 0)</f>
        <v>60.626500000000007</v>
      </c>
      <c r="K185" s="116">
        <f t="shared" si="43"/>
        <v>0</v>
      </c>
      <c r="L185" s="116">
        <f t="shared" si="43"/>
        <v>23.907499999999999</v>
      </c>
      <c r="M185" s="116">
        <f t="shared" si="43"/>
        <v>65.590499999999992</v>
      </c>
      <c r="N185" s="116">
        <f t="shared" si="43"/>
        <v>138.04300000000003</v>
      </c>
      <c r="O185" s="116">
        <f t="shared" si="43"/>
        <v>276.66999999999996</v>
      </c>
      <c r="P185" s="116">
        <f t="shared" si="43"/>
        <v>734.78150000000005</v>
      </c>
      <c r="Q185" s="116">
        <f t="shared" si="43"/>
        <v>0</v>
      </c>
      <c r="R185" s="116">
        <f t="shared" si="43"/>
        <v>54.275500000000001</v>
      </c>
      <c r="S185" s="116">
        <f t="shared" si="43"/>
        <v>1326.4099999999999</v>
      </c>
      <c r="T185" s="116">
        <f t="shared" si="43"/>
        <v>2188.6860000000001</v>
      </c>
      <c r="U185" s="116">
        <f t="shared" si="43"/>
        <v>3662.337</v>
      </c>
      <c r="V185" s="116">
        <f t="shared" si="43"/>
        <v>9187.4879999999994</v>
      </c>
      <c r="W185" s="116">
        <f t="shared" si="43"/>
        <v>0</v>
      </c>
      <c r="X185" s="116">
        <f t="shared" si="43"/>
        <v>0</v>
      </c>
      <c r="Y185" s="116">
        <f t="shared" si="43"/>
        <v>0</v>
      </c>
      <c r="Z185" s="116">
        <f t="shared" si="43"/>
        <v>0</v>
      </c>
      <c r="AA185" s="116">
        <f t="shared" si="43"/>
        <v>0</v>
      </c>
      <c r="AB185" s="116">
        <f t="shared" si="43"/>
        <v>0</v>
      </c>
      <c r="AC185" s="116">
        <f t="shared" si="43"/>
        <v>0</v>
      </c>
      <c r="AD185" s="116">
        <f t="shared" si="43"/>
        <v>0</v>
      </c>
      <c r="AE185" s="116">
        <f t="shared" si="43"/>
        <v>0</v>
      </c>
      <c r="AF185" s="116">
        <f t="shared" si="43"/>
        <v>0</v>
      </c>
      <c r="AG185" s="116">
        <f t="shared" si="43"/>
        <v>0</v>
      </c>
      <c r="AH185" s="116">
        <f t="shared" si="43"/>
        <v>0</v>
      </c>
      <c r="AI185" s="116">
        <f t="shared" si="43"/>
        <v>0</v>
      </c>
      <c r="AJ185" s="116">
        <f t="shared" si="43"/>
        <v>0</v>
      </c>
      <c r="AK185" s="116">
        <f t="shared" si="43"/>
        <v>0</v>
      </c>
      <c r="AL185" s="116">
        <f t="shared" si="43"/>
        <v>0</v>
      </c>
      <c r="AM185" s="116">
        <f t="shared" si="43"/>
        <v>0</v>
      </c>
      <c r="AN185" s="116">
        <f t="shared" si="43"/>
        <v>0</v>
      </c>
      <c r="AO185" s="116">
        <f t="shared" si="43"/>
        <v>0</v>
      </c>
    </row>
    <row r="186" spans="3:43" x14ac:dyDescent="0.35">
      <c r="E186" s="23"/>
      <c r="F186" t="s">
        <v>160</v>
      </c>
      <c r="G186" s="12" t="s">
        <v>789</v>
      </c>
      <c r="H186" s="92"/>
      <c r="J186" s="88">
        <f t="shared" ref="J186:AO186" si="44" xml:space="preserve"> IF( J$25 &lt;&gt; 0, J$26 * J68 * days_in_year / hundred / J$25, 0)</f>
        <v>0</v>
      </c>
      <c r="K186" s="88">
        <f t="shared" si="44"/>
        <v>0</v>
      </c>
      <c r="L186" s="88">
        <f t="shared" si="44"/>
        <v>0</v>
      </c>
      <c r="M186" s="88">
        <f t="shared" si="44"/>
        <v>0</v>
      </c>
      <c r="N186" s="88">
        <f t="shared" si="44"/>
        <v>0</v>
      </c>
      <c r="O186" s="88">
        <f t="shared" si="44"/>
        <v>0</v>
      </c>
      <c r="P186" s="88">
        <f t="shared" si="44"/>
        <v>0</v>
      </c>
      <c r="Q186" s="88">
        <f t="shared" si="44"/>
        <v>0</v>
      </c>
      <c r="R186" s="88">
        <f t="shared" si="44"/>
        <v>420.31889222123169</v>
      </c>
      <c r="S186" s="88">
        <f t="shared" si="44"/>
        <v>585.23250015669396</v>
      </c>
      <c r="T186" s="88">
        <f t="shared" si="44"/>
        <v>1000.2578021053641</v>
      </c>
      <c r="U186" s="88">
        <f t="shared" si="44"/>
        <v>1692.8265987297989</v>
      </c>
      <c r="V186" s="88">
        <f t="shared" si="44"/>
        <v>4089.0265454276873</v>
      </c>
      <c r="W186" s="88">
        <f t="shared" si="44"/>
        <v>0</v>
      </c>
      <c r="X186" s="88">
        <f t="shared" si="44"/>
        <v>0</v>
      </c>
      <c r="Y186" s="88">
        <f t="shared" si="44"/>
        <v>0</v>
      </c>
      <c r="Z186" s="88">
        <f t="shared" si="44"/>
        <v>0</v>
      </c>
      <c r="AA186" s="88">
        <f t="shared" si="44"/>
        <v>0</v>
      </c>
      <c r="AB186" s="88">
        <f t="shared" si="44"/>
        <v>0</v>
      </c>
      <c r="AC186" s="88">
        <f t="shared" si="44"/>
        <v>0</v>
      </c>
      <c r="AD186" s="88">
        <f t="shared" si="44"/>
        <v>0</v>
      </c>
      <c r="AE186" s="88">
        <f t="shared" si="44"/>
        <v>0</v>
      </c>
      <c r="AF186" s="88">
        <f t="shared" si="44"/>
        <v>0</v>
      </c>
      <c r="AG186" s="88">
        <f t="shared" si="44"/>
        <v>0</v>
      </c>
      <c r="AH186" s="88">
        <f t="shared" si="44"/>
        <v>0</v>
      </c>
      <c r="AI186" s="88">
        <f t="shared" si="44"/>
        <v>0</v>
      </c>
      <c r="AJ186" s="88">
        <f t="shared" si="44"/>
        <v>0</v>
      </c>
      <c r="AK186" s="88">
        <f t="shared" si="44"/>
        <v>0</v>
      </c>
      <c r="AL186" s="88">
        <f t="shared" si="44"/>
        <v>0</v>
      </c>
      <c r="AM186" s="88">
        <f t="shared" si="44"/>
        <v>0</v>
      </c>
      <c r="AN186" s="88">
        <f t="shared" si="44"/>
        <v>0</v>
      </c>
      <c r="AO186" s="88">
        <f t="shared" si="44"/>
        <v>0</v>
      </c>
    </row>
    <row r="187" spans="3:43" x14ac:dyDescent="0.35">
      <c r="E187" s="23"/>
      <c r="F187" t="s">
        <v>161</v>
      </c>
      <c r="G187" s="12" t="s">
        <v>789</v>
      </c>
      <c r="H187" s="92"/>
      <c r="J187" s="88">
        <f t="shared" ref="J187:AO187" si="45" xml:space="preserve"> IF( J$25 &lt;&gt; 0, J$27 * J69 * days_in_year / hundred / J$25, 0)</f>
        <v>0</v>
      </c>
      <c r="K187" s="88">
        <f t="shared" si="45"/>
        <v>0</v>
      </c>
      <c r="L187" s="88">
        <f t="shared" si="45"/>
        <v>0</v>
      </c>
      <c r="M187" s="88">
        <f t="shared" si="45"/>
        <v>0</v>
      </c>
      <c r="N187" s="88">
        <f t="shared" si="45"/>
        <v>0</v>
      </c>
      <c r="O187" s="88">
        <f t="shared" si="45"/>
        <v>0</v>
      </c>
      <c r="P187" s="88">
        <f t="shared" si="45"/>
        <v>0</v>
      </c>
      <c r="Q187" s="88">
        <f t="shared" si="45"/>
        <v>0</v>
      </c>
      <c r="R187" s="88">
        <f t="shared" si="45"/>
        <v>12.00377096287167</v>
      </c>
      <c r="S187" s="88">
        <f t="shared" si="45"/>
        <v>16.71349306900095</v>
      </c>
      <c r="T187" s="88">
        <f t="shared" si="45"/>
        <v>28.566085851735842</v>
      </c>
      <c r="U187" s="88">
        <f t="shared" si="45"/>
        <v>48.34496651726549</v>
      </c>
      <c r="V187" s="88">
        <f t="shared" si="45"/>
        <v>116.77737789283448</v>
      </c>
      <c r="W187" s="88">
        <f t="shared" si="45"/>
        <v>0</v>
      </c>
      <c r="X187" s="88">
        <f t="shared" si="45"/>
        <v>0</v>
      </c>
      <c r="Y187" s="88">
        <f t="shared" si="45"/>
        <v>0</v>
      </c>
      <c r="Z187" s="88">
        <f t="shared" si="45"/>
        <v>0</v>
      </c>
      <c r="AA187" s="88">
        <f t="shared" si="45"/>
        <v>0</v>
      </c>
      <c r="AB187" s="88">
        <f t="shared" si="45"/>
        <v>0</v>
      </c>
      <c r="AC187" s="88">
        <f t="shared" si="45"/>
        <v>0</v>
      </c>
      <c r="AD187" s="88">
        <f t="shared" si="45"/>
        <v>0</v>
      </c>
      <c r="AE187" s="88">
        <f t="shared" si="45"/>
        <v>0</v>
      </c>
      <c r="AF187" s="88">
        <f t="shared" si="45"/>
        <v>0</v>
      </c>
      <c r="AG187" s="88">
        <f t="shared" si="45"/>
        <v>0</v>
      </c>
      <c r="AH187" s="88">
        <f t="shared" si="45"/>
        <v>0</v>
      </c>
      <c r="AI187" s="88">
        <f t="shared" si="45"/>
        <v>0</v>
      </c>
      <c r="AJ187" s="88">
        <f t="shared" si="45"/>
        <v>0</v>
      </c>
      <c r="AK187" s="88">
        <f t="shared" si="45"/>
        <v>0</v>
      </c>
      <c r="AL187" s="88">
        <f t="shared" si="45"/>
        <v>0</v>
      </c>
      <c r="AM187" s="88">
        <f t="shared" si="45"/>
        <v>0</v>
      </c>
      <c r="AN187" s="88">
        <f t="shared" si="45"/>
        <v>0</v>
      </c>
      <c r="AO187" s="88">
        <f t="shared" si="45"/>
        <v>0</v>
      </c>
    </row>
    <row r="188" spans="3:43" x14ac:dyDescent="0.35">
      <c r="E188" s="23"/>
      <c r="F188" s="19" t="s">
        <v>162</v>
      </c>
      <c r="G188" s="75" t="s">
        <v>789</v>
      </c>
      <c r="H188" s="208"/>
      <c r="I188" s="19"/>
      <c r="J188" s="116">
        <f t="shared" ref="J188:AO188" si="46" xml:space="preserve"> IF( J$25 &lt;&gt; 0, J$28 * thousand * J70 / hundred / J$25, 0)</f>
        <v>0</v>
      </c>
      <c r="K188" s="116">
        <f t="shared" si="46"/>
        <v>0</v>
      </c>
      <c r="L188" s="116">
        <f t="shared" si="46"/>
        <v>0</v>
      </c>
      <c r="M188" s="116">
        <f t="shared" si="46"/>
        <v>0</v>
      </c>
      <c r="N188" s="116">
        <f t="shared" si="46"/>
        <v>0</v>
      </c>
      <c r="O188" s="116">
        <f t="shared" si="46"/>
        <v>0</v>
      </c>
      <c r="P188" s="116">
        <f t="shared" si="46"/>
        <v>0</v>
      </c>
      <c r="Q188" s="116">
        <f t="shared" si="46"/>
        <v>0</v>
      </c>
      <c r="R188" s="116">
        <f t="shared" si="46"/>
        <v>7.4947655136487743</v>
      </c>
      <c r="S188" s="116">
        <f t="shared" si="46"/>
        <v>10.435363341536897</v>
      </c>
      <c r="T188" s="116">
        <f t="shared" si="46"/>
        <v>17.835738099613121</v>
      </c>
      <c r="U188" s="116">
        <f t="shared" si="46"/>
        <v>30.185030098693641</v>
      </c>
      <c r="V188" s="116">
        <f t="shared" si="46"/>
        <v>72.912009677012975</v>
      </c>
      <c r="W188" s="116">
        <f t="shared" si="46"/>
        <v>0</v>
      </c>
      <c r="X188" s="116">
        <f t="shared" si="46"/>
        <v>0</v>
      </c>
      <c r="Y188" s="116">
        <f t="shared" si="46"/>
        <v>0</v>
      </c>
      <c r="Z188" s="116">
        <f t="shared" si="46"/>
        <v>0</v>
      </c>
      <c r="AA188" s="116">
        <f t="shared" si="46"/>
        <v>0</v>
      </c>
      <c r="AB188" s="116">
        <f t="shared" si="46"/>
        <v>0</v>
      </c>
      <c r="AC188" s="116">
        <f t="shared" si="46"/>
        <v>0</v>
      </c>
      <c r="AD188" s="116">
        <f t="shared" si="46"/>
        <v>0</v>
      </c>
      <c r="AE188" s="116">
        <f t="shared" si="46"/>
        <v>0</v>
      </c>
      <c r="AF188" s="116">
        <f t="shared" si="46"/>
        <v>0</v>
      </c>
      <c r="AG188" s="116">
        <f t="shared" si="46"/>
        <v>0</v>
      </c>
      <c r="AH188" s="116">
        <f t="shared" si="46"/>
        <v>0</v>
      </c>
      <c r="AI188" s="116">
        <f t="shared" si="46"/>
        <v>0</v>
      </c>
      <c r="AJ188" s="116">
        <f t="shared" si="46"/>
        <v>20.434583505474752</v>
      </c>
      <c r="AK188" s="116">
        <f t="shared" si="46"/>
        <v>0</v>
      </c>
      <c r="AL188" s="116">
        <f t="shared" si="46"/>
        <v>0</v>
      </c>
      <c r="AM188" s="116">
        <f t="shared" si="46"/>
        <v>0</v>
      </c>
      <c r="AN188" s="116">
        <f t="shared" si="46"/>
        <v>0</v>
      </c>
      <c r="AO188" s="116">
        <f t="shared" si="46"/>
        <v>0</v>
      </c>
    </row>
    <row r="189" spans="3:43" x14ac:dyDescent="0.35">
      <c r="E189" s="23"/>
      <c r="F189" s="98" t="s">
        <v>100</v>
      </c>
      <c r="G189" s="204" t="s">
        <v>789</v>
      </c>
      <c r="H189" s="209"/>
      <c r="I189" s="98"/>
      <c r="J189" s="143">
        <f t="shared" ref="J189" si="47">SUM(J182:J188)</f>
        <v>98.30635109672707</v>
      </c>
      <c r="K189" s="143">
        <f t="shared" ref="K189:AO189" si="48">SUM(K182:K188)</f>
        <v>10.889567473465178</v>
      </c>
      <c r="L189" s="143">
        <f t="shared" si="48"/>
        <v>261.84391230214192</v>
      </c>
      <c r="M189" s="143">
        <f t="shared" si="48"/>
        <v>93.874277350407993</v>
      </c>
      <c r="N189" s="143">
        <f t="shared" si="48"/>
        <v>215.46426815738698</v>
      </c>
      <c r="O189" s="143">
        <f t="shared" si="48"/>
        <v>449.94943964065374</v>
      </c>
      <c r="P189" s="143">
        <f t="shared" si="48"/>
        <v>1219.7180720164683</v>
      </c>
      <c r="Q189" s="143">
        <f t="shared" si="48"/>
        <v>21.246097128210693</v>
      </c>
      <c r="R189" s="143">
        <f t="shared" si="48"/>
        <v>951.32239980711449</v>
      </c>
      <c r="S189" s="143">
        <f t="shared" si="48"/>
        <v>2575.4164321344115</v>
      </c>
      <c r="T189" s="143">
        <f t="shared" si="48"/>
        <v>4323.4417223628661</v>
      </c>
      <c r="U189" s="143">
        <f t="shared" si="48"/>
        <v>7275.1768708814488</v>
      </c>
      <c r="V189" s="143">
        <f t="shared" si="48"/>
        <v>17914.311023396847</v>
      </c>
      <c r="W189" s="143">
        <f t="shared" si="48"/>
        <v>0</v>
      </c>
      <c r="X189" s="143">
        <f t="shared" si="48"/>
        <v>0</v>
      </c>
      <c r="Y189" s="143">
        <f t="shared" si="48"/>
        <v>0</v>
      </c>
      <c r="Z189" s="143">
        <f t="shared" si="48"/>
        <v>0</v>
      </c>
      <c r="AA189" s="143">
        <f t="shared" si="48"/>
        <v>0</v>
      </c>
      <c r="AB189" s="143">
        <f t="shared" si="48"/>
        <v>0</v>
      </c>
      <c r="AC189" s="143">
        <f t="shared" si="48"/>
        <v>0</v>
      </c>
      <c r="AD189" s="143">
        <f t="shared" si="48"/>
        <v>0</v>
      </c>
      <c r="AE189" s="143">
        <f t="shared" si="48"/>
        <v>0</v>
      </c>
      <c r="AF189" s="143">
        <f t="shared" si="48"/>
        <v>0</v>
      </c>
      <c r="AG189" s="143">
        <f t="shared" si="48"/>
        <v>1948.9853346461655</v>
      </c>
      <c r="AH189" s="143">
        <f t="shared" si="48"/>
        <v>-14.911703885678079</v>
      </c>
      <c r="AI189" s="143">
        <f t="shared" si="48"/>
        <v>0</v>
      </c>
      <c r="AJ189" s="143">
        <f t="shared" si="48"/>
        <v>-540.3694486160357</v>
      </c>
      <c r="AK189" s="143">
        <f t="shared" si="48"/>
        <v>0</v>
      </c>
      <c r="AL189" s="143">
        <f t="shared" si="48"/>
        <v>0</v>
      </c>
      <c r="AM189" s="143">
        <f t="shared" si="48"/>
        <v>0</v>
      </c>
      <c r="AN189" s="143">
        <f t="shared" si="48"/>
        <v>0</v>
      </c>
      <c r="AO189" s="143">
        <f t="shared" si="48"/>
        <v>0</v>
      </c>
    </row>
    <row r="190" spans="3:43" x14ac:dyDescent="0.35">
      <c r="D190" s="23"/>
      <c r="G190" s="12"/>
      <c r="J190" s="79"/>
      <c r="K190" s="79"/>
      <c r="L190" s="79"/>
      <c r="M190" s="79"/>
      <c r="N190" s="79"/>
      <c r="O190" s="79"/>
      <c r="P190" s="79"/>
      <c r="Q190" s="79"/>
      <c r="R190" s="79"/>
      <c r="S190" s="79"/>
      <c r="T190" s="79"/>
      <c r="U190" s="79"/>
      <c r="V190" s="79"/>
      <c r="W190" s="79"/>
      <c r="X190" s="79"/>
      <c r="Y190" s="79"/>
      <c r="Z190" s="79"/>
      <c r="AA190" s="79"/>
      <c r="AB190" s="79"/>
      <c r="AC190" s="79"/>
      <c r="AD190" s="79"/>
      <c r="AE190" s="79"/>
      <c r="AF190" s="79"/>
      <c r="AG190" s="79"/>
      <c r="AH190" s="79"/>
      <c r="AI190" s="79"/>
      <c r="AJ190" s="79"/>
      <c r="AK190" s="79"/>
      <c r="AL190" s="79"/>
      <c r="AM190" s="79"/>
      <c r="AN190" s="79"/>
      <c r="AO190" s="79"/>
    </row>
    <row r="191" spans="3:43" x14ac:dyDescent="0.35">
      <c r="E191" s="27" t="s">
        <v>790</v>
      </c>
      <c r="G191" s="12"/>
      <c r="H191" s="118"/>
      <c r="J191" s="79"/>
      <c r="K191" s="79"/>
      <c r="L191" s="79"/>
      <c r="M191" s="79"/>
      <c r="N191" s="79"/>
      <c r="O191" s="79"/>
      <c r="P191" s="79"/>
      <c r="Q191" s="79"/>
      <c r="R191" s="79"/>
      <c r="S191" s="79"/>
      <c r="T191" s="79"/>
      <c r="U191" s="79"/>
      <c r="V191" s="79"/>
      <c r="W191" s="79"/>
      <c r="X191" s="79"/>
      <c r="Y191" s="79"/>
      <c r="Z191" s="79"/>
      <c r="AA191" s="79"/>
      <c r="AB191" s="79"/>
      <c r="AC191" s="79"/>
      <c r="AD191" s="79"/>
      <c r="AE191" s="79"/>
      <c r="AF191" s="79"/>
      <c r="AG191" s="79"/>
      <c r="AH191" s="79"/>
      <c r="AI191" s="79"/>
      <c r="AJ191" s="79"/>
      <c r="AK191" s="79"/>
      <c r="AL191" s="79"/>
      <c r="AM191" s="79"/>
      <c r="AN191" s="79"/>
      <c r="AO191" s="79"/>
    </row>
    <row r="192" spans="3:43" x14ac:dyDescent="0.35">
      <c r="E192" s="24" t="s">
        <v>791</v>
      </c>
      <c r="J192" s="79"/>
      <c r="K192" s="79"/>
      <c r="L192" s="79"/>
      <c r="M192" s="79"/>
      <c r="N192" s="79"/>
      <c r="O192" s="79"/>
      <c r="P192" s="79"/>
      <c r="Q192" s="79"/>
      <c r="R192" s="79"/>
      <c r="S192" s="79"/>
      <c r="T192" s="79"/>
      <c r="U192" s="79"/>
      <c r="V192" s="79"/>
      <c r="W192" s="79"/>
      <c r="X192" s="79"/>
      <c r="Y192" s="79"/>
      <c r="Z192" s="79"/>
      <c r="AA192" s="79"/>
      <c r="AB192" s="79"/>
      <c r="AC192" s="79"/>
      <c r="AD192" s="79"/>
      <c r="AE192" s="79"/>
      <c r="AF192" s="79"/>
      <c r="AG192" s="79"/>
      <c r="AH192" s="79"/>
      <c r="AI192" s="79"/>
      <c r="AJ192" s="79"/>
      <c r="AK192" s="79"/>
      <c r="AL192" s="79"/>
      <c r="AM192" s="79"/>
      <c r="AN192" s="79"/>
      <c r="AO192" s="79"/>
    </row>
    <row r="193" spans="3:43" x14ac:dyDescent="0.35">
      <c r="C193" s="78"/>
      <c r="F193" s="19" t="s">
        <v>156</v>
      </c>
      <c r="G193" s="75" t="s">
        <v>789</v>
      </c>
      <c r="H193" s="208"/>
      <c r="I193" s="19"/>
      <c r="J193" s="116">
        <f t="shared" ref="J193:AO193" si="49" xml:space="preserve"> IF( J$25 &lt;&gt; 0, J$22 * thousand * J73 / hundred / J$25,0)</f>
        <v>17.319564428727201</v>
      </c>
      <c r="K193" s="116">
        <f t="shared" si="49"/>
        <v>0.45858899486518623</v>
      </c>
      <c r="L193" s="116">
        <f t="shared" si="49"/>
        <v>94.38272516509771</v>
      </c>
      <c r="M193" s="116">
        <f t="shared" si="49"/>
        <v>11.21938402981603</v>
      </c>
      <c r="N193" s="116">
        <f t="shared" si="49"/>
        <v>30.710853390329127</v>
      </c>
      <c r="O193" s="116">
        <f t="shared" si="49"/>
        <v>68.735111074963186</v>
      </c>
      <c r="P193" s="116">
        <f t="shared" si="49"/>
        <v>192.36078562458397</v>
      </c>
      <c r="Q193" s="116">
        <f t="shared" si="49"/>
        <v>5.2718385132150516</v>
      </c>
      <c r="R193" s="116">
        <f t="shared" si="49"/>
        <v>200.71889622535232</v>
      </c>
      <c r="S193" s="116">
        <f t="shared" si="49"/>
        <v>279.47166696667762</v>
      </c>
      <c r="T193" s="116">
        <f t="shared" si="49"/>
        <v>477.66266445551889</v>
      </c>
      <c r="U193" s="116">
        <f t="shared" si="49"/>
        <v>808.39165853891893</v>
      </c>
      <c r="V193" s="116">
        <f t="shared" si="49"/>
        <v>1952.6719117883906</v>
      </c>
      <c r="W193" s="116">
        <f t="shared" si="49"/>
        <v>0</v>
      </c>
      <c r="X193" s="116">
        <f t="shared" si="49"/>
        <v>680.30333126549681</v>
      </c>
      <c r="Y193" s="116">
        <f t="shared" si="49"/>
        <v>1009.7938905872097</v>
      </c>
      <c r="Z193" s="116">
        <f t="shared" si="49"/>
        <v>1307.2924571402482</v>
      </c>
      <c r="AA193" s="116">
        <f t="shared" si="49"/>
        <v>4266.2066037147242</v>
      </c>
      <c r="AB193" s="116">
        <f t="shared" si="49"/>
        <v>145.55932340873045</v>
      </c>
      <c r="AC193" s="116">
        <f t="shared" si="49"/>
        <v>1483.1912127346475</v>
      </c>
      <c r="AD193" s="116">
        <f t="shared" si="49"/>
        <v>3860.8801029962751</v>
      </c>
      <c r="AE193" s="116">
        <f t="shared" si="49"/>
        <v>7602.9445272824551</v>
      </c>
      <c r="AF193" s="116">
        <f t="shared" si="49"/>
        <v>19540.126711833607</v>
      </c>
      <c r="AG193" s="116">
        <f t="shared" si="49"/>
        <v>292.01891899816866</v>
      </c>
      <c r="AH193" s="116">
        <f t="shared" si="49"/>
        <v>-7.1512715990851756</v>
      </c>
      <c r="AI193" s="116">
        <f t="shared" si="49"/>
        <v>-28.510313589743589</v>
      </c>
      <c r="AJ193" s="116">
        <f t="shared" si="49"/>
        <v>-255.80905286149354</v>
      </c>
      <c r="AK193" s="116">
        <f t="shared" si="49"/>
        <v>0</v>
      </c>
      <c r="AL193" s="116">
        <f t="shared" si="49"/>
        <v>0</v>
      </c>
      <c r="AM193" s="116">
        <f t="shared" si="49"/>
        <v>0</v>
      </c>
      <c r="AN193" s="116">
        <f t="shared" si="49"/>
        <v>-15747.40770989398</v>
      </c>
      <c r="AO193" s="116">
        <f t="shared" si="49"/>
        <v>0</v>
      </c>
    </row>
    <row r="194" spans="3:43" x14ac:dyDescent="0.35">
      <c r="C194" s="78"/>
      <c r="F194" t="s">
        <v>157</v>
      </c>
      <c r="G194" s="12" t="s">
        <v>789</v>
      </c>
      <c r="H194" s="92"/>
      <c r="J194" s="88">
        <f t="shared" ref="J194:AO194" si="50" xml:space="preserve"> IF( J$25 &lt;&gt; 0, J$23 * thousand * J74 / hundred / J$25, 0)</f>
        <v>9.6519621676843492</v>
      </c>
      <c r="K194" s="88">
        <f t="shared" si="50"/>
        <v>6.6222557184302069</v>
      </c>
      <c r="L194" s="88">
        <f t="shared" si="50"/>
        <v>75.881609896567952</v>
      </c>
      <c r="M194" s="88">
        <f t="shared" si="50"/>
        <v>9.0201349954780472</v>
      </c>
      <c r="N194" s="88">
        <f t="shared" si="50"/>
        <v>24.690842444729633</v>
      </c>
      <c r="O194" s="88">
        <f t="shared" si="50"/>
        <v>55.261499132008289</v>
      </c>
      <c r="P194" s="88">
        <f t="shared" si="50"/>
        <v>154.65378933092924</v>
      </c>
      <c r="Q194" s="88">
        <f t="shared" si="50"/>
        <v>8.7013683234546111</v>
      </c>
      <c r="R194" s="88">
        <f t="shared" si="50"/>
        <v>126.52147881130554</v>
      </c>
      <c r="S194" s="88">
        <f t="shared" si="50"/>
        <v>176.16262970470947</v>
      </c>
      <c r="T194" s="88">
        <f t="shared" si="50"/>
        <v>301.09066867331308</v>
      </c>
      <c r="U194" s="88">
        <f t="shared" si="50"/>
        <v>509.56292616434473</v>
      </c>
      <c r="V194" s="88">
        <f t="shared" si="50"/>
        <v>1230.8504209558396</v>
      </c>
      <c r="W194" s="88">
        <f t="shared" si="50"/>
        <v>0</v>
      </c>
      <c r="X194" s="88">
        <f t="shared" si="50"/>
        <v>288.86801838730605</v>
      </c>
      <c r="Y194" s="88">
        <f t="shared" si="50"/>
        <v>428.77514594985416</v>
      </c>
      <c r="Z194" s="88">
        <f t="shared" si="50"/>
        <v>555.09794556540101</v>
      </c>
      <c r="AA194" s="88">
        <f t="shared" si="50"/>
        <v>1811.5017096174759</v>
      </c>
      <c r="AB194" s="88">
        <f t="shared" si="50"/>
        <v>54.196039905310059</v>
      </c>
      <c r="AC194" s="88">
        <f t="shared" si="50"/>
        <v>552.23594250198948</v>
      </c>
      <c r="AD194" s="88">
        <f t="shared" si="50"/>
        <v>1437.5198182533841</v>
      </c>
      <c r="AE194" s="88">
        <f t="shared" si="50"/>
        <v>2830.8010462608704</v>
      </c>
      <c r="AF194" s="88">
        <f t="shared" si="50"/>
        <v>7275.3669241487551</v>
      </c>
      <c r="AG194" s="88">
        <f t="shared" si="50"/>
        <v>484.97122425971656</v>
      </c>
      <c r="AH194" s="88">
        <f t="shared" si="50"/>
        <v>-7.722553766380269</v>
      </c>
      <c r="AI194" s="88">
        <f t="shared" si="50"/>
        <v>-28.932920769230769</v>
      </c>
      <c r="AJ194" s="88">
        <f t="shared" si="50"/>
        <v>-300.9671690715989</v>
      </c>
      <c r="AK194" s="88">
        <f t="shared" si="50"/>
        <v>0</v>
      </c>
      <c r="AL194" s="88">
        <f t="shared" si="50"/>
        <v>0</v>
      </c>
      <c r="AM194" s="88">
        <f t="shared" si="50"/>
        <v>0</v>
      </c>
      <c r="AN194" s="88">
        <f t="shared" si="50"/>
        <v>-7469.0737147312384</v>
      </c>
      <c r="AO194" s="88">
        <f t="shared" si="50"/>
        <v>0</v>
      </c>
    </row>
    <row r="195" spans="3:43" x14ac:dyDescent="0.35">
      <c r="C195" s="78"/>
      <c r="F195" t="s">
        <v>158</v>
      </c>
      <c r="G195" s="12" t="s">
        <v>789</v>
      </c>
      <c r="H195" s="92"/>
      <c r="J195" s="88">
        <f t="shared" ref="J195:AO195" si="51" xml:space="preserve"> IF( J$25 &lt;&gt; 0, J$24 * thousand * J75 / hundred / J$25, 0)</f>
        <v>0.25728037884527688</v>
      </c>
      <c r="K195" s="88">
        <f t="shared" si="51"/>
        <v>0.78359802215056673</v>
      </c>
      <c r="L195" s="88">
        <f t="shared" si="51"/>
        <v>1.7207761978786369</v>
      </c>
      <c r="M195" s="88">
        <f t="shared" si="51"/>
        <v>0.20455066284212789</v>
      </c>
      <c r="N195" s="88">
        <f t="shared" si="51"/>
        <v>0.55991713990222003</v>
      </c>
      <c r="O195" s="88">
        <f t="shared" si="51"/>
        <v>1.2531715193584967</v>
      </c>
      <c r="P195" s="88">
        <f t="shared" si="51"/>
        <v>3.507102181347324</v>
      </c>
      <c r="Q195" s="88">
        <f t="shared" si="51"/>
        <v>1.3553977419589758</v>
      </c>
      <c r="R195" s="88">
        <f t="shared" si="51"/>
        <v>3.2838727175355991</v>
      </c>
      <c r="S195" s="88">
        <f t="shared" si="51"/>
        <v>4.5723118238239335</v>
      </c>
      <c r="T195" s="88">
        <f t="shared" si="51"/>
        <v>7.8148267128260338</v>
      </c>
      <c r="U195" s="88">
        <f t="shared" si="51"/>
        <v>13.225736901117966</v>
      </c>
      <c r="V195" s="88">
        <f t="shared" si="51"/>
        <v>31.94679792489837</v>
      </c>
      <c r="W195" s="88">
        <f t="shared" si="51"/>
        <v>0</v>
      </c>
      <c r="X195" s="88">
        <f t="shared" si="51"/>
        <v>8.3887588141278968</v>
      </c>
      <c r="Y195" s="88">
        <f t="shared" si="51"/>
        <v>12.451677084041902</v>
      </c>
      <c r="Z195" s="88">
        <f t="shared" si="51"/>
        <v>16.120104986224643</v>
      </c>
      <c r="AA195" s="88">
        <f t="shared" si="51"/>
        <v>52.60620756219074</v>
      </c>
      <c r="AB195" s="88">
        <f t="shared" si="51"/>
        <v>1.6564540305666686</v>
      </c>
      <c r="AC195" s="88">
        <f t="shared" si="51"/>
        <v>16.878603203839941</v>
      </c>
      <c r="AD195" s="88">
        <f t="shared" si="51"/>
        <v>43.936521951154177</v>
      </c>
      <c r="AE195" s="88">
        <f t="shared" si="51"/>
        <v>86.52093051455094</v>
      </c>
      <c r="AF195" s="88">
        <f t="shared" si="51"/>
        <v>222.36515594891023</v>
      </c>
      <c r="AG195" s="88">
        <f t="shared" si="51"/>
        <v>632.04407567613782</v>
      </c>
      <c r="AH195" s="88">
        <f t="shared" si="51"/>
        <v>-3.7878520212634437E-2</v>
      </c>
      <c r="AI195" s="88">
        <f t="shared" si="51"/>
        <v>-0.19778461538461536</v>
      </c>
      <c r="AJ195" s="88">
        <f t="shared" si="51"/>
        <v>-4.0278101884180586</v>
      </c>
      <c r="AK195" s="88">
        <f t="shared" si="51"/>
        <v>0</v>
      </c>
      <c r="AL195" s="88">
        <f t="shared" si="51"/>
        <v>0</v>
      </c>
      <c r="AM195" s="88">
        <f t="shared" si="51"/>
        <v>0</v>
      </c>
      <c r="AN195" s="88">
        <f t="shared" si="51"/>
        <v>-161.61144919661294</v>
      </c>
      <c r="AO195" s="88">
        <f t="shared" si="51"/>
        <v>0</v>
      </c>
    </row>
    <row r="196" spans="3:43" x14ac:dyDescent="0.35">
      <c r="C196" s="78"/>
      <c r="F196" s="19" t="s">
        <v>159</v>
      </c>
      <c r="G196" s="75" t="s">
        <v>789</v>
      </c>
      <c r="H196" s="208"/>
      <c r="I196" s="19"/>
      <c r="J196" s="116">
        <f t="shared" ref="J196:AO196" si="52" xml:space="preserve"> IF( J$25 &lt;&gt; 0, J$25 * J76 * days_in_year / hundred / J$25, 0)</f>
        <v>44.566500000000005</v>
      </c>
      <c r="K196" s="116">
        <f t="shared" si="52"/>
        <v>0</v>
      </c>
      <c r="L196" s="116">
        <f t="shared" si="52"/>
        <v>17.812000000000001</v>
      </c>
      <c r="M196" s="116">
        <f t="shared" si="52"/>
        <v>47.961000000000006</v>
      </c>
      <c r="N196" s="116">
        <f t="shared" si="52"/>
        <v>100.3385</v>
      </c>
      <c r="O196" s="116">
        <f t="shared" si="52"/>
        <v>200.53099999999998</v>
      </c>
      <c r="P196" s="116">
        <f t="shared" si="52"/>
        <v>531.65899999999999</v>
      </c>
      <c r="Q196" s="116">
        <f t="shared" si="52"/>
        <v>0</v>
      </c>
      <c r="R196" s="116">
        <f t="shared" si="52"/>
        <v>39.784999999999997</v>
      </c>
      <c r="S196" s="116">
        <f t="shared" si="52"/>
        <v>959.36599999999976</v>
      </c>
      <c r="T196" s="116">
        <f t="shared" si="52"/>
        <v>1582.6765</v>
      </c>
      <c r="U196" s="116">
        <f t="shared" si="52"/>
        <v>2647.9655000000007</v>
      </c>
      <c r="V196" s="116">
        <f t="shared" si="52"/>
        <v>6641.9415000000008</v>
      </c>
      <c r="W196" s="116">
        <f t="shared" si="52"/>
        <v>0</v>
      </c>
      <c r="X196" s="116">
        <f t="shared" si="52"/>
        <v>1657.5744999999999</v>
      </c>
      <c r="Y196" s="116">
        <f t="shared" si="52"/>
        <v>2672.6394999999998</v>
      </c>
      <c r="Z196" s="116">
        <f t="shared" si="52"/>
        <v>4407.4115000000002</v>
      </c>
      <c r="AA196" s="116">
        <f t="shared" si="52"/>
        <v>10911.529000000002</v>
      </c>
      <c r="AB196" s="116">
        <f t="shared" si="52"/>
        <v>649.6635</v>
      </c>
      <c r="AC196" s="116">
        <f t="shared" si="52"/>
        <v>10346.472500000002</v>
      </c>
      <c r="AD196" s="116">
        <f t="shared" si="52"/>
        <v>25775.716</v>
      </c>
      <c r="AE196" s="116">
        <f t="shared" si="52"/>
        <v>49867.394999999997</v>
      </c>
      <c r="AF196" s="116">
        <f t="shared" si="52"/>
        <v>127286.45</v>
      </c>
      <c r="AG196" s="116">
        <f t="shared" si="52"/>
        <v>0</v>
      </c>
      <c r="AH196" s="116">
        <f t="shared" si="52"/>
        <v>0</v>
      </c>
      <c r="AI196" s="116">
        <f t="shared" si="52"/>
        <v>0</v>
      </c>
      <c r="AJ196" s="116">
        <f t="shared" si="52"/>
        <v>0</v>
      </c>
      <c r="AK196" s="116">
        <f t="shared" si="52"/>
        <v>0</v>
      </c>
      <c r="AL196" s="116">
        <f t="shared" si="52"/>
        <v>0</v>
      </c>
      <c r="AM196" s="116">
        <f t="shared" si="52"/>
        <v>0</v>
      </c>
      <c r="AN196" s="116">
        <f t="shared" si="52"/>
        <v>0</v>
      </c>
      <c r="AO196" s="116">
        <f t="shared" si="52"/>
        <v>0</v>
      </c>
    </row>
    <row r="197" spans="3:43" x14ac:dyDescent="0.35">
      <c r="C197" s="78"/>
      <c r="F197" t="s">
        <v>160</v>
      </c>
      <c r="G197" s="12" t="s">
        <v>789</v>
      </c>
      <c r="H197" s="92"/>
      <c r="J197" s="88">
        <f t="shared" ref="J197:AO197" si="53" xml:space="preserve"> IF( J$25 &lt;&gt; 0, J$26 * J77 * days_in_year / hundred / J$25, 0)</f>
        <v>0</v>
      </c>
      <c r="K197" s="88">
        <f t="shared" si="53"/>
        <v>0</v>
      </c>
      <c r="L197" s="88">
        <f t="shared" si="53"/>
        <v>0</v>
      </c>
      <c r="M197" s="88">
        <f t="shared" si="53"/>
        <v>0</v>
      </c>
      <c r="N197" s="88">
        <f t="shared" si="53"/>
        <v>0</v>
      </c>
      <c r="O197" s="88">
        <f t="shared" si="53"/>
        <v>0</v>
      </c>
      <c r="P197" s="88">
        <f t="shared" si="53"/>
        <v>0</v>
      </c>
      <c r="Q197" s="88">
        <f t="shared" si="53"/>
        <v>0</v>
      </c>
      <c r="R197" s="88">
        <f t="shared" si="53"/>
        <v>304.64973971073772</v>
      </c>
      <c r="S197" s="88">
        <f t="shared" si="53"/>
        <v>424.18014546240983</v>
      </c>
      <c r="T197" s="88">
        <f t="shared" si="53"/>
        <v>724.99305811512818</v>
      </c>
      <c r="U197" s="88">
        <f t="shared" si="53"/>
        <v>1226.9712169088075</v>
      </c>
      <c r="V197" s="88">
        <f t="shared" si="53"/>
        <v>2963.7517984301458</v>
      </c>
      <c r="W197" s="88">
        <f t="shared" si="53"/>
        <v>0</v>
      </c>
      <c r="X197" s="88">
        <f t="shared" si="53"/>
        <v>1362.9604373452414</v>
      </c>
      <c r="Y197" s="88">
        <f t="shared" si="53"/>
        <v>2023.0815571387732</v>
      </c>
      <c r="Z197" s="88">
        <f t="shared" si="53"/>
        <v>2619.1080026133855</v>
      </c>
      <c r="AA197" s="88">
        <f t="shared" si="53"/>
        <v>8547.173813757101</v>
      </c>
      <c r="AB197" s="88">
        <f t="shared" si="53"/>
        <v>492.97729364281918</v>
      </c>
      <c r="AC197" s="88">
        <f t="shared" si="53"/>
        <v>5023.241197374804</v>
      </c>
      <c r="AD197" s="88">
        <f t="shared" si="53"/>
        <v>13075.948552673432</v>
      </c>
      <c r="AE197" s="88">
        <f t="shared" si="53"/>
        <v>25749.494632175396</v>
      </c>
      <c r="AF197" s="88">
        <f t="shared" si="53"/>
        <v>66178.09535146362</v>
      </c>
      <c r="AG197" s="88">
        <f t="shared" si="53"/>
        <v>0</v>
      </c>
      <c r="AH197" s="88">
        <f t="shared" si="53"/>
        <v>0</v>
      </c>
      <c r="AI197" s="88">
        <f t="shared" si="53"/>
        <v>0</v>
      </c>
      <c r="AJ197" s="88">
        <f t="shared" si="53"/>
        <v>0</v>
      </c>
      <c r="AK197" s="88">
        <f t="shared" si="53"/>
        <v>0</v>
      </c>
      <c r="AL197" s="88">
        <f t="shared" si="53"/>
        <v>0</v>
      </c>
      <c r="AM197" s="88">
        <f t="shared" si="53"/>
        <v>0</v>
      </c>
      <c r="AN197" s="88">
        <f t="shared" si="53"/>
        <v>0</v>
      </c>
      <c r="AO197" s="88">
        <f t="shared" si="53"/>
        <v>0</v>
      </c>
    </row>
    <row r="198" spans="3:43" x14ac:dyDescent="0.35">
      <c r="C198" s="78"/>
      <c r="F198" t="s">
        <v>161</v>
      </c>
      <c r="G198" s="12" t="s">
        <v>789</v>
      </c>
      <c r="H198" s="92"/>
      <c r="J198" s="88">
        <f t="shared" ref="J198:AO198" si="54" xml:space="preserve"> IF( J$25 &lt;&gt; 0, J$27 * J78 * days_in_year / hundred / J$25, 0)</f>
        <v>0</v>
      </c>
      <c r="K198" s="88">
        <f t="shared" si="54"/>
        <v>0</v>
      </c>
      <c r="L198" s="88">
        <f t="shared" si="54"/>
        <v>0</v>
      </c>
      <c r="M198" s="88">
        <f t="shared" si="54"/>
        <v>0</v>
      </c>
      <c r="N198" s="88">
        <f t="shared" si="54"/>
        <v>0</v>
      </c>
      <c r="O198" s="88">
        <f t="shared" si="54"/>
        <v>0</v>
      </c>
      <c r="P198" s="88">
        <f t="shared" si="54"/>
        <v>0</v>
      </c>
      <c r="Q198" s="88">
        <f t="shared" si="54"/>
        <v>0</v>
      </c>
      <c r="R198" s="88">
        <f t="shared" si="54"/>
        <v>8.6767834454460395</v>
      </c>
      <c r="S198" s="88">
        <f t="shared" si="54"/>
        <v>12.081150200652569</v>
      </c>
      <c r="T198" s="88">
        <f t="shared" si="54"/>
        <v>20.648656291942089</v>
      </c>
      <c r="U198" s="88">
        <f t="shared" si="54"/>
        <v>34.945585553500109</v>
      </c>
      <c r="V198" s="88">
        <f t="shared" si="54"/>
        <v>84.411142334953524</v>
      </c>
      <c r="W198" s="88">
        <f t="shared" si="54"/>
        <v>0</v>
      </c>
      <c r="X198" s="88">
        <f t="shared" si="54"/>
        <v>9.2350317663537496</v>
      </c>
      <c r="Y198" s="88">
        <f t="shared" si="54"/>
        <v>13.707824478377338</v>
      </c>
      <c r="Z198" s="88">
        <f t="shared" si="54"/>
        <v>17.74632993071916</v>
      </c>
      <c r="AA198" s="88">
        <f t="shared" si="54"/>
        <v>57.913215614929634</v>
      </c>
      <c r="AB198" s="88">
        <f t="shared" si="54"/>
        <v>12.111617219448732</v>
      </c>
      <c r="AC198" s="88">
        <f t="shared" si="54"/>
        <v>123.41252907207837</v>
      </c>
      <c r="AD198" s="88">
        <f t="shared" si="54"/>
        <v>321.25391106944363</v>
      </c>
      <c r="AE198" s="88">
        <f t="shared" si="54"/>
        <v>632.62147486476022</v>
      </c>
      <c r="AF198" s="88">
        <f t="shared" si="54"/>
        <v>1625.8837263807959</v>
      </c>
      <c r="AG198" s="88">
        <f t="shared" si="54"/>
        <v>0</v>
      </c>
      <c r="AH198" s="88">
        <f t="shared" si="54"/>
        <v>0</v>
      </c>
      <c r="AI198" s="88">
        <f t="shared" si="54"/>
        <v>0</v>
      </c>
      <c r="AJ198" s="88">
        <f t="shared" si="54"/>
        <v>0</v>
      </c>
      <c r="AK198" s="88">
        <f t="shared" si="54"/>
        <v>0</v>
      </c>
      <c r="AL198" s="88">
        <f t="shared" si="54"/>
        <v>0</v>
      </c>
      <c r="AM198" s="88">
        <f t="shared" si="54"/>
        <v>0</v>
      </c>
      <c r="AN198" s="88">
        <f t="shared" si="54"/>
        <v>0</v>
      </c>
      <c r="AO198" s="88">
        <f t="shared" si="54"/>
        <v>0</v>
      </c>
    </row>
    <row r="199" spans="3:43" x14ac:dyDescent="0.35">
      <c r="C199" s="78"/>
      <c r="F199" s="19" t="s">
        <v>162</v>
      </c>
      <c r="G199" s="75" t="s">
        <v>789</v>
      </c>
      <c r="H199" s="208"/>
      <c r="I199" s="19"/>
      <c r="J199" s="116">
        <f t="shared" ref="J199:AO199" si="55" xml:space="preserve"> IF( J$25 &lt;&gt; 0, J$28 * thousand * J79 / hundred / J$25, 0)</f>
        <v>0</v>
      </c>
      <c r="K199" s="116">
        <f t="shared" si="55"/>
        <v>0</v>
      </c>
      <c r="L199" s="116">
        <f t="shared" si="55"/>
        <v>0</v>
      </c>
      <c r="M199" s="116">
        <f t="shared" si="55"/>
        <v>0</v>
      </c>
      <c r="N199" s="116">
        <f t="shared" si="55"/>
        <v>0</v>
      </c>
      <c r="O199" s="116">
        <f t="shared" si="55"/>
        <v>0</v>
      </c>
      <c r="P199" s="116">
        <f t="shared" si="55"/>
        <v>0</v>
      </c>
      <c r="Q199" s="116">
        <f t="shared" si="55"/>
        <v>0</v>
      </c>
      <c r="R199" s="116">
        <f t="shared" si="55"/>
        <v>5.4020712468507401</v>
      </c>
      <c r="S199" s="116">
        <f t="shared" si="55"/>
        <v>7.5215930578610122</v>
      </c>
      <c r="T199" s="116">
        <f t="shared" si="55"/>
        <v>12.855629409461404</v>
      </c>
      <c r="U199" s="116">
        <f t="shared" si="55"/>
        <v>21.75674247373373</v>
      </c>
      <c r="V199" s="116">
        <f t="shared" si="55"/>
        <v>52.553461520444415</v>
      </c>
      <c r="W199" s="116">
        <f t="shared" si="55"/>
        <v>0</v>
      </c>
      <c r="X199" s="116">
        <f t="shared" si="55"/>
        <v>16.227520062935291</v>
      </c>
      <c r="Y199" s="116">
        <f t="shared" si="55"/>
        <v>24.086976890810504</v>
      </c>
      <c r="Z199" s="116">
        <f t="shared" si="55"/>
        <v>31.183317207788711</v>
      </c>
      <c r="AA199" s="116">
        <f t="shared" si="55"/>
        <v>101.76336065505738</v>
      </c>
      <c r="AB199" s="116">
        <f t="shared" si="55"/>
        <v>3.0495147216892202</v>
      </c>
      <c r="AC199" s="116">
        <f t="shared" si="55"/>
        <v>31.073333761065783</v>
      </c>
      <c r="AD199" s="116">
        <f t="shared" si="55"/>
        <v>80.886682055420707</v>
      </c>
      <c r="AE199" s="116">
        <f t="shared" si="55"/>
        <v>159.28413736185112</v>
      </c>
      <c r="AF199" s="116">
        <f t="shared" si="55"/>
        <v>409.37195004738101</v>
      </c>
      <c r="AG199" s="116">
        <f t="shared" si="55"/>
        <v>0</v>
      </c>
      <c r="AH199" s="116">
        <f t="shared" si="55"/>
        <v>0</v>
      </c>
      <c r="AI199" s="116">
        <f t="shared" si="55"/>
        <v>0</v>
      </c>
      <c r="AJ199" s="116">
        <f t="shared" si="55"/>
        <v>20.434583505474752</v>
      </c>
      <c r="AK199" s="116">
        <f t="shared" si="55"/>
        <v>0</v>
      </c>
      <c r="AL199" s="116">
        <f t="shared" si="55"/>
        <v>0</v>
      </c>
      <c r="AM199" s="116">
        <f t="shared" si="55"/>
        <v>0</v>
      </c>
      <c r="AN199" s="116">
        <f t="shared" si="55"/>
        <v>288.90519435807221</v>
      </c>
      <c r="AO199" s="116">
        <f t="shared" si="55"/>
        <v>0</v>
      </c>
    </row>
    <row r="200" spans="3:43" x14ac:dyDescent="0.35">
      <c r="C200" s="78"/>
      <c r="F200" s="98" t="s">
        <v>100</v>
      </c>
      <c r="G200" s="204" t="s">
        <v>789</v>
      </c>
      <c r="H200" s="209"/>
      <c r="I200" s="98"/>
      <c r="J200" s="143">
        <f t="shared" ref="J200" si="56">SUM(J193:J199)</f>
        <v>71.795306975256835</v>
      </c>
      <c r="K200" s="143">
        <f t="shared" ref="K200:AO200" si="57">SUM(K193:K199)</f>
        <v>7.8644427354459605</v>
      </c>
      <c r="L200" s="143">
        <f t="shared" si="57"/>
        <v>189.79711125954432</v>
      </c>
      <c r="M200" s="143">
        <f t="shared" si="57"/>
        <v>68.405069688136209</v>
      </c>
      <c r="N200" s="143">
        <f t="shared" si="57"/>
        <v>156.30011297496097</v>
      </c>
      <c r="O200" s="143">
        <f t="shared" si="57"/>
        <v>325.78078172632996</v>
      </c>
      <c r="P200" s="143">
        <f t="shared" si="57"/>
        <v>882.1806771368606</v>
      </c>
      <c r="Q200" s="143">
        <f t="shared" si="57"/>
        <v>15.328604578628639</v>
      </c>
      <c r="R200" s="143">
        <f t="shared" si="57"/>
        <v>689.03784215722794</v>
      </c>
      <c r="S200" s="143">
        <f t="shared" si="57"/>
        <v>1863.3554972161342</v>
      </c>
      <c r="T200" s="143">
        <f t="shared" si="57"/>
        <v>3127.7420036581902</v>
      </c>
      <c r="U200" s="143">
        <f t="shared" si="57"/>
        <v>5262.8193665404233</v>
      </c>
      <c r="V200" s="143">
        <f t="shared" si="57"/>
        <v>12958.127032954671</v>
      </c>
      <c r="W200" s="143">
        <f t="shared" si="57"/>
        <v>0</v>
      </c>
      <c r="X200" s="143">
        <f t="shared" si="57"/>
        <v>4023.5575976414611</v>
      </c>
      <c r="Y200" s="143">
        <f t="shared" si="57"/>
        <v>6184.5365721290664</v>
      </c>
      <c r="Z200" s="143">
        <f t="shared" si="57"/>
        <v>8953.9596574437674</v>
      </c>
      <c r="AA200" s="143">
        <f t="shared" si="57"/>
        <v>25748.69391092148</v>
      </c>
      <c r="AB200" s="143">
        <f t="shared" si="57"/>
        <v>1359.2137429285644</v>
      </c>
      <c r="AC200" s="143">
        <f t="shared" si="57"/>
        <v>17576.505318648422</v>
      </c>
      <c r="AD200" s="143">
        <f t="shared" si="57"/>
        <v>44596.141588999104</v>
      </c>
      <c r="AE200" s="143">
        <f t="shared" si="57"/>
        <v>86929.061748459892</v>
      </c>
      <c r="AF200" s="143">
        <f t="shared" si="57"/>
        <v>222537.65981982308</v>
      </c>
      <c r="AG200" s="143">
        <f t="shared" si="57"/>
        <v>1409.0342189340231</v>
      </c>
      <c r="AH200" s="143">
        <f t="shared" si="57"/>
        <v>-14.911703885678079</v>
      </c>
      <c r="AI200" s="143">
        <f t="shared" si="57"/>
        <v>-57.641018974358971</v>
      </c>
      <c r="AJ200" s="143">
        <f t="shared" si="57"/>
        <v>-540.3694486160357</v>
      </c>
      <c r="AK200" s="143">
        <f t="shared" si="57"/>
        <v>0</v>
      </c>
      <c r="AL200" s="143">
        <f t="shared" si="57"/>
        <v>0</v>
      </c>
      <c r="AM200" s="143">
        <f t="shared" si="57"/>
        <v>0</v>
      </c>
      <c r="AN200" s="143">
        <f t="shared" si="57"/>
        <v>-23089.187679463761</v>
      </c>
      <c r="AO200" s="143">
        <f t="shared" si="57"/>
        <v>0</v>
      </c>
    </row>
    <row r="201" spans="3:43" x14ac:dyDescent="0.35">
      <c r="C201" s="78"/>
      <c r="D201" s="2"/>
      <c r="E201" s="2"/>
      <c r="G201" s="12"/>
    </row>
    <row r="202" spans="3:43" x14ac:dyDescent="0.35">
      <c r="C202" s="26" t="str">
        <f ca="1">INDEX('Version control'!$H$38:$H$61,MATCH($A$1,'Version control'!$F$38:$F$61,0),1)&amp;"-K: LDNO margins"</f>
        <v>Section 118-K: LDNO margins</v>
      </c>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row>
    <row r="203" spans="3:43" x14ac:dyDescent="0.35">
      <c r="C203" s="78"/>
      <c r="D203" s="2"/>
      <c r="E203" s="2"/>
      <c r="G203" s="12"/>
    </row>
    <row r="204" spans="3:43" x14ac:dyDescent="0.35">
      <c r="C204" s="78"/>
      <c r="D204" s="2" t="s">
        <v>792</v>
      </c>
      <c r="E204" s="2"/>
      <c r="G204" s="12"/>
    </row>
    <row r="205" spans="3:43" x14ac:dyDescent="0.35">
      <c r="D205" s="27"/>
      <c r="G205" s="12"/>
      <c r="H205" s="118"/>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row>
    <row r="206" spans="3:43" x14ac:dyDescent="0.35">
      <c r="C206" s="78"/>
      <c r="D206" s="2"/>
      <c r="E206" t="s">
        <v>793</v>
      </c>
      <c r="G206" s="23" t="s">
        <v>167</v>
      </c>
      <c r="J206" s="101">
        <f>IF( AND( ISNUMBER(J$140), J$140 &lt;&gt; 0), ( J$140 - J189 ) / J$140, 0)</f>
        <v>0.36430784118396276</v>
      </c>
      <c r="K206" s="101">
        <f>IF( AND( ISNUMBER(K$140), K$140 &lt;&gt; 0), ( K$140 - K189 ) / K$140, 0)</f>
        <v>0.37055228110280125</v>
      </c>
      <c r="L206" s="101">
        <f t="shared" ref="L206:AK206" si="58">IF( AND( ISNUMBER(L$140), L$140 &lt;&gt; 0), ( L$140 - L189 ) / L$140, 0)</f>
        <v>0.36911223034715984</v>
      </c>
      <c r="M206" s="101">
        <f t="shared" si="58"/>
        <v>0.36615609934437549</v>
      </c>
      <c r="N206" s="101">
        <f t="shared" si="58"/>
        <v>0.36887312874416334</v>
      </c>
      <c r="O206" s="101">
        <f t="shared" si="58"/>
        <v>0.36994208250484872</v>
      </c>
      <c r="P206" s="101">
        <f t="shared" si="58"/>
        <v>0.3705443387722549</v>
      </c>
      <c r="Q206" s="101">
        <f t="shared" si="58"/>
        <v>0.36984417454638108</v>
      </c>
      <c r="R206" s="101">
        <f t="shared" si="58"/>
        <v>0.37031098152835118</v>
      </c>
      <c r="S206" s="101">
        <f t="shared" si="58"/>
        <v>0.37070203279293223</v>
      </c>
      <c r="T206" s="101">
        <f t="shared" si="58"/>
        <v>0.37076866183081919</v>
      </c>
      <c r="U206" s="101">
        <f t="shared" si="58"/>
        <v>0.37081266712732253</v>
      </c>
      <c r="V206" s="101">
        <f t="shared" si="58"/>
        <v>0.37084930802334981</v>
      </c>
      <c r="W206" s="101">
        <f t="shared" si="58"/>
        <v>0</v>
      </c>
      <c r="X206" s="101">
        <f t="shared" si="58"/>
        <v>1</v>
      </c>
      <c r="Y206" s="101">
        <f t="shared" si="58"/>
        <v>1</v>
      </c>
      <c r="Z206" s="101">
        <f t="shared" si="58"/>
        <v>1</v>
      </c>
      <c r="AA206" s="101">
        <f t="shared" si="58"/>
        <v>1</v>
      </c>
      <c r="AB206" s="101">
        <f t="shared" si="58"/>
        <v>1</v>
      </c>
      <c r="AC206" s="101">
        <f t="shared" si="58"/>
        <v>1</v>
      </c>
      <c r="AD206" s="101">
        <f t="shared" si="58"/>
        <v>1</v>
      </c>
      <c r="AE206" s="101">
        <f t="shared" si="58"/>
        <v>1</v>
      </c>
      <c r="AF206" s="101">
        <f t="shared" si="58"/>
        <v>1</v>
      </c>
      <c r="AG206" s="101">
        <f t="shared" si="58"/>
        <v>0.37100243271334588</v>
      </c>
      <c r="AH206" s="101">
        <f t="shared" si="58"/>
        <v>-1.1912500764626567E-16</v>
      </c>
      <c r="AI206" s="378"/>
      <c r="AJ206" s="101">
        <f t="shared" si="58"/>
        <v>2.1038724156738402E-16</v>
      </c>
      <c r="AK206" s="101">
        <f t="shared" si="58"/>
        <v>0</v>
      </c>
      <c r="AL206" s="378"/>
      <c r="AM206" s="378"/>
      <c r="AN206" s="378"/>
      <c r="AO206" s="378"/>
    </row>
    <row r="207" spans="3:43" x14ac:dyDescent="0.35">
      <c r="C207" s="78"/>
      <c r="D207" s="2"/>
      <c r="E207" t="s">
        <v>794</v>
      </c>
      <c r="G207" s="23" t="s">
        <v>167</v>
      </c>
      <c r="J207" s="101">
        <f>IF( AND( ISNUMBER(J$140), J$140 &lt;&gt; 0), ( J$140 - J200 ) / J$140, 0)</f>
        <v>0.53573992753474697</v>
      </c>
      <c r="K207" s="101">
        <f>IF( AND( ISNUMBER(K$140), K$140 &lt;&gt; 0), ( K$140 - K200 ) / K$140, 0)</f>
        <v>0.54541302468748276</v>
      </c>
      <c r="L207" s="101">
        <f t="shared" ref="L207:AO207" si="59">IF( AND( ISNUMBER(L$140), L$140 &lt;&gt; 0), ( L$140 - L200 ) / L$140, 0)</f>
        <v>0.54270208095990791</v>
      </c>
      <c r="M207" s="101">
        <f t="shared" si="59"/>
        <v>0.53812548634698343</v>
      </c>
      <c r="N207" s="101">
        <f t="shared" si="59"/>
        <v>0.54217373431605365</v>
      </c>
      <c r="O207" s="101">
        <f t="shared" si="59"/>
        <v>0.54381372036297515</v>
      </c>
      <c r="P207" s="101">
        <f t="shared" si="59"/>
        <v>0.5447360876341717</v>
      </c>
      <c r="Q207" s="101">
        <f t="shared" si="59"/>
        <v>0.54535605231362561</v>
      </c>
      <c r="R207" s="101">
        <f t="shared" si="59"/>
        <v>0.54391953494863676</v>
      </c>
      <c r="S207" s="101">
        <f t="shared" si="59"/>
        <v>0.54469272931895707</v>
      </c>
      <c r="T207" s="101">
        <f t="shared" si="59"/>
        <v>0.54479014341051468</v>
      </c>
      <c r="U207" s="101">
        <f t="shared" si="59"/>
        <v>0.54484965253868101</v>
      </c>
      <c r="V207" s="101">
        <f t="shared" si="59"/>
        <v>0.54491051434481019</v>
      </c>
      <c r="W207" s="101">
        <f t="shared" si="59"/>
        <v>0</v>
      </c>
      <c r="X207" s="101">
        <f t="shared" si="59"/>
        <v>0.25939078292862816</v>
      </c>
      <c r="Y207" s="101">
        <f t="shared" si="59"/>
        <v>0.25942132396592349</v>
      </c>
      <c r="Z207" s="101">
        <f t="shared" si="59"/>
        <v>0.25944554274192505</v>
      </c>
      <c r="AA207" s="101">
        <f t="shared" si="59"/>
        <v>0.25946687196474405</v>
      </c>
      <c r="AB207" s="101">
        <f t="shared" si="59"/>
        <v>0.15126127863532543</v>
      </c>
      <c r="AC207" s="101">
        <f t="shared" si="59"/>
        <v>0.15142330408121041</v>
      </c>
      <c r="AD207" s="101">
        <f t="shared" si="59"/>
        <v>0.15143188239288038</v>
      </c>
      <c r="AE207" s="101">
        <f t="shared" si="59"/>
        <v>0.15143465598292288</v>
      </c>
      <c r="AF207" s="101">
        <f t="shared" si="59"/>
        <v>0.15143626072497596</v>
      </c>
      <c r="AG207" s="101">
        <f t="shared" si="59"/>
        <v>0.54526128022710163</v>
      </c>
      <c r="AH207" s="101">
        <f t="shared" si="59"/>
        <v>-1.1912500764626567E-16</v>
      </c>
      <c r="AI207" s="101">
        <f t="shared" si="59"/>
        <v>1.2327032873519773E-16</v>
      </c>
      <c r="AJ207" s="101">
        <f t="shared" si="59"/>
        <v>2.1038724156738402E-16</v>
      </c>
      <c r="AK207" s="101">
        <f t="shared" si="59"/>
        <v>0</v>
      </c>
      <c r="AL207" s="101">
        <f t="shared" si="59"/>
        <v>0</v>
      </c>
      <c r="AM207" s="101">
        <f t="shared" si="59"/>
        <v>0</v>
      </c>
      <c r="AN207" s="101">
        <f t="shared" si="59"/>
        <v>-7.0460325837750068E-2</v>
      </c>
      <c r="AO207" s="101">
        <f t="shared" si="59"/>
        <v>0</v>
      </c>
    </row>
    <row r="208" spans="3:43" x14ac:dyDescent="0.35">
      <c r="C208" s="78"/>
      <c r="D208" s="2"/>
      <c r="E208" s="2"/>
      <c r="F208" s="92"/>
      <c r="G208" s="92"/>
    </row>
    <row r="209" spans="2:43" x14ac:dyDescent="0.35">
      <c r="B209" s="25" t="s">
        <v>231</v>
      </c>
      <c r="C209" s="25"/>
      <c r="D209" s="25"/>
      <c r="E209" s="25"/>
      <c r="F209" s="25"/>
      <c r="G209" s="82"/>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row>
    <row r="210" spans="2:43" x14ac:dyDescent="0.35">
      <c r="F210" s="3"/>
      <c r="G210" s="202"/>
      <c r="H210" s="3"/>
      <c r="I210" s="3"/>
    </row>
    <row r="211" spans="2:43" x14ac:dyDescent="0.35">
      <c r="D211" t="s">
        <v>232</v>
      </c>
      <c r="G211" s="6" t="s">
        <v>55</v>
      </c>
      <c r="H211" s="93">
        <f t="array" ref="H211">SUM(IF(ISERROR($H$13:$AP$207), 1))</f>
        <v>0</v>
      </c>
      <c r="I211" s="3"/>
    </row>
    <row r="212" spans="2:43" x14ac:dyDescent="0.35">
      <c r="F212" s="3"/>
      <c r="G212" s="3"/>
      <c r="H212" s="3"/>
      <c r="I212" s="3"/>
    </row>
    <row r="213" spans="2:43" x14ac:dyDescent="0.35">
      <c r="B213" s="25" t="s">
        <v>106</v>
      </c>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row>
  </sheetData>
  <sheetProtection sheet="1" objects="1" formatCells="0" formatColumns="0" formatRows="0" sort="0" autoFilter="0"/>
  <conditionalFormatting sqref="A4:I4 AP4:XFD4">
    <cfRule type="expression" dxfId="13" priority="10">
      <formula>LEFT($A$4,1) &lt;&gt; "0"</formula>
    </cfRule>
  </conditionalFormatting>
  <conditionalFormatting sqref="R4:AF4">
    <cfRule type="expression" dxfId="12" priority="9">
      <formula>LEFT($A$4,1) &lt;&gt; "0"</formula>
    </cfRule>
  </conditionalFormatting>
  <conditionalFormatting sqref="L4:Q4">
    <cfRule type="expression" dxfId="11" priority="8">
      <formula>LEFT($A$4,1) &lt;&gt; "0"</formula>
    </cfRule>
  </conditionalFormatting>
  <conditionalFormatting sqref="J4:K4">
    <cfRule type="expression" dxfId="10" priority="7">
      <formula>LEFT($A$4,1) &lt;&gt; "0"</formula>
    </cfRule>
  </conditionalFormatting>
  <conditionalFormatting sqref="AG4">
    <cfRule type="expression" dxfId="9" priority="6">
      <formula>LEFT($A$4,1) &lt;&gt; "0"</formula>
    </cfRule>
  </conditionalFormatting>
  <conditionalFormatting sqref="AH4:AI4">
    <cfRule type="expression" dxfId="8" priority="5">
      <formula>LEFT($A$4,1) &lt;&gt; "0"</formula>
    </cfRule>
  </conditionalFormatting>
  <conditionalFormatting sqref="AJ4:AK4">
    <cfRule type="expression" dxfId="7" priority="4">
      <formula>LEFT($A$4,1) &lt;&gt; "0"</formula>
    </cfRule>
  </conditionalFormatting>
  <conditionalFormatting sqref="AL4:AM4">
    <cfRule type="expression" dxfId="6" priority="3">
      <formula>LEFT($A$4,1) &lt;&gt; "0"</formula>
    </cfRule>
  </conditionalFormatting>
  <conditionalFormatting sqref="AN4:AO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xr:uid="{00000000-0002-0000-1900-000000000000}">
      <formula1>0</formula1>
    </dataValidation>
    <dataValidation allowBlank="1" sqref="J168:AO168 J155:AO161 J170:AO170" xr:uid="{00000000-0002-0000-1900-000001000000}"/>
  </dataValidations>
  <hyperlinks>
    <hyperlink ref="B5:F5" location="'Model map'!A1" display="Click here to return to model map" xr:uid="{00000000-0004-0000-19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theme="9" tint="0.39997558519241921"/>
    <pageSetUpPr fitToPage="1"/>
  </sheetPr>
  <dimension ref="A1:JY12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16" width="17" customWidth="1"/>
    <col min="17" max="17" width="2.453125" customWidth="1"/>
    <col min="18" max="18" width="50.54296875" customWidth="1"/>
    <col min="19" max="19" width="2.453125" customWidth="1"/>
    <col min="20" max="27" width="0" hidden="1" customWidth="1"/>
    <col min="28" max="28" width="24.54296875" hidden="1" customWidth="1"/>
    <col min="29" max="29" width="3.54296875" hidden="1" customWidth="1"/>
    <col min="30" max="30" width="15.453125" hidden="1" customWidth="1"/>
    <col min="31" max="285" width="24.54296875" hidden="1" customWidth="1"/>
    <col min="286" max="16384" width="8.54296875" hidden="1"/>
  </cols>
  <sheetData>
    <row r="1" spans="1:44" s="1" customFormat="1" x14ac:dyDescent="0.35">
      <c r="A1" s="1" t="str">
        <f ca="1">MID(CELL("filename",A1),FIND("]",CELL("filename",A1))+1,255)</f>
        <v>Tariff summary</v>
      </c>
    </row>
    <row r="2" spans="1:44" s="1" customFormat="1" x14ac:dyDescent="0.35">
      <c r="A2" s="1" t="str">
        <f>Cover!D21&amp;" - "&amp;Cover!D23</f>
        <v>Southern Electric Power Distribution - Final</v>
      </c>
    </row>
    <row r="3" spans="1:44" s="5" customFormat="1" x14ac:dyDescent="0.35">
      <c r="A3" s="5" t="str">
        <f>Cover!D2&amp;" - "&amp;Cover!D8&amp;" v"&amp;Cover!D10&amp;" - "&amp;Cover!D19</f>
        <v>CDCM charging model - Release for charge setting v9 - 2024/25</v>
      </c>
    </row>
    <row r="4" spans="1:44" x14ac:dyDescent="0.35">
      <c r="A4" s="11" t="str">
        <f>H119 &amp; IF(H119 = 1, " issue", " issues") &amp;" identified in checks on this sheet"</f>
        <v>0 issues identified in checks on this sheet</v>
      </c>
      <c r="B4" s="12"/>
      <c r="C4" s="12"/>
      <c r="D4" s="12"/>
      <c r="E4" s="12"/>
      <c r="F4" s="12"/>
      <c r="G4" s="12"/>
      <c r="H4" s="13"/>
      <c r="I4" s="13"/>
      <c r="J4" s="12"/>
    </row>
    <row r="5" spans="1:44" ht="43.5" x14ac:dyDescent="0.35">
      <c r="B5" s="49" t="s">
        <v>142</v>
      </c>
      <c r="C5" s="50"/>
      <c r="D5" s="50"/>
      <c r="E5" s="50"/>
      <c r="F5" s="50"/>
      <c r="G5" s="51"/>
      <c r="H5" s="51" t="s">
        <v>795</v>
      </c>
      <c r="J5" s="52" t="s">
        <v>796</v>
      </c>
      <c r="K5" s="52" t="s">
        <v>797</v>
      </c>
      <c r="L5" s="52" t="s">
        <v>798</v>
      </c>
      <c r="M5" s="52" t="s">
        <v>799</v>
      </c>
      <c r="N5" s="52" t="s">
        <v>800</v>
      </c>
      <c r="O5" s="52" t="s">
        <v>801</v>
      </c>
      <c r="P5" s="52" t="s">
        <v>802</v>
      </c>
      <c r="R5" s="51" t="s">
        <v>145</v>
      </c>
    </row>
    <row r="7" spans="1:44" x14ac:dyDescent="0.3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row>
    <row r="9" spans="1:44" x14ac:dyDescent="0.35">
      <c r="C9" s="24" t="s">
        <v>803</v>
      </c>
    </row>
    <row r="11" spans="1:44" x14ac:dyDescent="0.35">
      <c r="B11" s="25" t="s">
        <v>96</v>
      </c>
      <c r="C11" s="25"/>
      <c r="D11" s="25"/>
      <c r="E11" s="25"/>
      <c r="F11" s="25"/>
      <c r="G11" s="25"/>
      <c r="H11" s="25"/>
      <c r="I11" s="25"/>
      <c r="J11" s="25"/>
      <c r="K11" s="25"/>
      <c r="L11" s="95"/>
      <c r="M11" s="95"/>
      <c r="N11" s="95"/>
      <c r="O11" s="95"/>
      <c r="P11" s="95"/>
      <c r="Q11" s="95"/>
      <c r="R11" s="95"/>
    </row>
    <row r="12" spans="1:44" x14ac:dyDescent="0.35">
      <c r="D12"/>
      <c r="E12"/>
    </row>
    <row r="13" spans="1:44" x14ac:dyDescent="0.35">
      <c r="C13" s="26" t="str">
        <f>"Output 101-A: Tariffs for "&amp; charging_year</f>
        <v>Output 101-A: Tariffs for 2024/25</v>
      </c>
      <c r="D13" s="26"/>
      <c r="E13" s="26"/>
      <c r="F13" s="26"/>
      <c r="G13" s="26"/>
      <c r="H13" s="26"/>
      <c r="I13" s="26"/>
      <c r="J13" s="26"/>
      <c r="K13" s="26"/>
      <c r="L13" s="26"/>
      <c r="M13" s="26"/>
      <c r="N13" s="26"/>
      <c r="O13" s="26"/>
      <c r="P13" s="26"/>
      <c r="Q13" s="26"/>
      <c r="R13" s="26"/>
    </row>
    <row r="14" spans="1:44" x14ac:dyDescent="0.35">
      <c r="D14"/>
      <c r="E14"/>
    </row>
    <row r="15" spans="1:44" x14ac:dyDescent="0.35">
      <c r="D15" s="27"/>
      <c r="E15" s="27" t="s">
        <v>804</v>
      </c>
    </row>
    <row r="16" spans="1:44" x14ac:dyDescent="0.35">
      <c r="F16" s="19" t="s">
        <v>908</v>
      </c>
      <c r="G16" s="19"/>
      <c r="H16" s="19" t="s">
        <v>772</v>
      </c>
      <c r="I16" s="19"/>
      <c r="J16" s="210">
        <f t="array" ref="J16:P47">TRANSPOSE(Rounding!J150:AO156)</f>
        <v>9.3170000000000002</v>
      </c>
      <c r="K16" s="210">
        <v>1.1839999999999999</v>
      </c>
      <c r="L16" s="210">
        <v>5.7000000000000002E-2</v>
      </c>
      <c r="M16" s="366">
        <v>25.96</v>
      </c>
      <c r="N16" s="211">
        <v>0</v>
      </c>
      <c r="O16" s="211">
        <v>0</v>
      </c>
      <c r="P16" s="210">
        <v>0</v>
      </c>
    </row>
    <row r="17" spans="6:16" x14ac:dyDescent="0.35">
      <c r="F17" t="s">
        <v>829</v>
      </c>
      <c r="H17" t="s">
        <v>772</v>
      </c>
      <c r="J17" s="212">
        <v>9.3170000000000002</v>
      </c>
      <c r="K17" s="212">
        <v>1.1839999999999999</v>
      </c>
      <c r="L17" s="212">
        <v>5.7000000000000002E-2</v>
      </c>
      <c r="M17" s="367">
        <v>0</v>
      </c>
      <c r="N17" s="213">
        <v>0</v>
      </c>
      <c r="O17" s="213">
        <v>0</v>
      </c>
      <c r="P17" s="212">
        <v>0</v>
      </c>
    </row>
    <row r="18" spans="6:16" x14ac:dyDescent="0.35">
      <c r="F18" t="s">
        <v>909</v>
      </c>
      <c r="H18" t="s">
        <v>772</v>
      </c>
      <c r="J18" s="212">
        <v>8.7149999999999999</v>
      </c>
      <c r="K18" s="212">
        <v>1.1080000000000001</v>
      </c>
      <c r="L18" s="212">
        <v>5.2999999999999999E-2</v>
      </c>
      <c r="M18" s="367">
        <v>10.1</v>
      </c>
      <c r="N18" s="213">
        <v>0</v>
      </c>
      <c r="O18" s="213">
        <v>0</v>
      </c>
      <c r="P18" s="212">
        <v>0</v>
      </c>
    </row>
    <row r="19" spans="6:16" x14ac:dyDescent="0.35">
      <c r="F19" t="s">
        <v>910</v>
      </c>
      <c r="H19" t="s">
        <v>772</v>
      </c>
      <c r="J19" s="212">
        <v>8.7149999999999999</v>
      </c>
      <c r="K19" s="212">
        <v>1.1080000000000001</v>
      </c>
      <c r="L19" s="212">
        <v>5.2999999999999999E-2</v>
      </c>
      <c r="M19" s="367">
        <v>28.26</v>
      </c>
      <c r="N19" s="213">
        <v>0</v>
      </c>
      <c r="O19" s="213">
        <v>0</v>
      </c>
      <c r="P19" s="212">
        <v>0</v>
      </c>
    </row>
    <row r="20" spans="6:16" x14ac:dyDescent="0.35">
      <c r="F20" t="s">
        <v>911</v>
      </c>
      <c r="H20" t="s">
        <v>772</v>
      </c>
      <c r="J20" s="212">
        <v>8.7149999999999999</v>
      </c>
      <c r="K20" s="212">
        <v>1.1080000000000001</v>
      </c>
      <c r="L20" s="212">
        <v>5.2999999999999999E-2</v>
      </c>
      <c r="M20" s="367">
        <v>59.82</v>
      </c>
      <c r="N20" s="213">
        <v>0</v>
      </c>
      <c r="O20" s="213">
        <v>0</v>
      </c>
      <c r="P20" s="212">
        <v>0</v>
      </c>
    </row>
    <row r="21" spans="6:16" x14ac:dyDescent="0.35">
      <c r="F21" t="s">
        <v>912</v>
      </c>
      <c r="H21" t="s">
        <v>772</v>
      </c>
      <c r="J21" s="212">
        <v>8.7149999999999999</v>
      </c>
      <c r="K21" s="212">
        <v>1.1080000000000001</v>
      </c>
      <c r="L21" s="212">
        <v>5.2999999999999999E-2</v>
      </c>
      <c r="M21" s="367">
        <v>120.2</v>
      </c>
      <c r="N21" s="213">
        <v>0</v>
      </c>
      <c r="O21" s="213">
        <v>0</v>
      </c>
      <c r="P21" s="212">
        <v>0</v>
      </c>
    </row>
    <row r="22" spans="6:16" x14ac:dyDescent="0.35">
      <c r="F22" t="s">
        <v>913</v>
      </c>
      <c r="H22" t="s">
        <v>772</v>
      </c>
      <c r="J22" s="212">
        <v>8.7149999999999999</v>
      </c>
      <c r="K22" s="212">
        <v>1.1080000000000001</v>
      </c>
      <c r="L22" s="212">
        <v>5.2999999999999999E-2</v>
      </c>
      <c r="M22" s="367">
        <v>319.72000000000003</v>
      </c>
      <c r="N22" s="213">
        <v>0</v>
      </c>
      <c r="O22" s="213">
        <v>0</v>
      </c>
      <c r="P22" s="212">
        <v>0</v>
      </c>
    </row>
    <row r="23" spans="6:16" x14ac:dyDescent="0.35">
      <c r="F23" t="s">
        <v>830</v>
      </c>
      <c r="H23" t="s">
        <v>772</v>
      </c>
      <c r="J23" s="212">
        <v>8.7149999999999999</v>
      </c>
      <c r="K23" s="212">
        <v>1.1080000000000001</v>
      </c>
      <c r="L23" s="212">
        <v>5.2999999999999999E-2</v>
      </c>
      <c r="M23" s="367">
        <v>0</v>
      </c>
      <c r="N23" s="213">
        <v>0</v>
      </c>
      <c r="O23" s="213">
        <v>0</v>
      </c>
      <c r="P23" s="212">
        <v>0</v>
      </c>
    </row>
    <row r="24" spans="6:16" x14ac:dyDescent="0.35">
      <c r="F24" t="s">
        <v>914</v>
      </c>
      <c r="H24" t="s">
        <v>772</v>
      </c>
      <c r="J24" s="212">
        <v>6.8090000000000002</v>
      </c>
      <c r="K24" s="212">
        <v>0.745</v>
      </c>
      <c r="L24" s="212">
        <v>3.5000000000000003E-2</v>
      </c>
      <c r="M24" s="367">
        <v>23.33</v>
      </c>
      <c r="N24" s="213">
        <v>4.0999999999999996</v>
      </c>
      <c r="O24" s="213">
        <v>7.17</v>
      </c>
      <c r="P24" s="212">
        <v>0.245</v>
      </c>
    </row>
    <row r="25" spans="6:16" x14ac:dyDescent="0.35">
      <c r="F25" t="s">
        <v>915</v>
      </c>
      <c r="H25" t="s">
        <v>772</v>
      </c>
      <c r="J25" s="212">
        <v>6.8090000000000002</v>
      </c>
      <c r="K25" s="212">
        <v>0.745</v>
      </c>
      <c r="L25" s="212">
        <v>3.5000000000000003E-2</v>
      </c>
      <c r="M25" s="367">
        <v>577.41</v>
      </c>
      <c r="N25" s="213">
        <v>4.0999999999999996</v>
      </c>
      <c r="O25" s="213">
        <v>7.17</v>
      </c>
      <c r="P25" s="212">
        <v>0.245</v>
      </c>
    </row>
    <row r="26" spans="6:16" x14ac:dyDescent="0.35">
      <c r="F26" t="s">
        <v>916</v>
      </c>
      <c r="H26" t="s">
        <v>772</v>
      </c>
      <c r="J26" s="212">
        <v>6.8090000000000002</v>
      </c>
      <c r="K26" s="212">
        <v>0.745</v>
      </c>
      <c r="L26" s="212">
        <v>3.5000000000000003E-2</v>
      </c>
      <c r="M26" s="367">
        <v>952.97</v>
      </c>
      <c r="N26" s="213">
        <v>4.0999999999999996</v>
      </c>
      <c r="O26" s="213">
        <v>7.17</v>
      </c>
      <c r="P26" s="212">
        <v>0.245</v>
      </c>
    </row>
    <row r="27" spans="6:16" x14ac:dyDescent="0.35">
      <c r="F27" t="s">
        <v>917</v>
      </c>
      <c r="H27" t="s">
        <v>772</v>
      </c>
      <c r="J27" s="212">
        <v>6.8090000000000002</v>
      </c>
      <c r="K27" s="212">
        <v>0.745</v>
      </c>
      <c r="L27" s="212">
        <v>3.5000000000000003E-2</v>
      </c>
      <c r="M27" s="367">
        <v>1594.83</v>
      </c>
      <c r="N27" s="213">
        <v>4.0999999999999996</v>
      </c>
      <c r="O27" s="213">
        <v>7.17</v>
      </c>
      <c r="P27" s="212">
        <v>0.245</v>
      </c>
    </row>
    <row r="28" spans="6:16" x14ac:dyDescent="0.35">
      <c r="F28" t="s">
        <v>918</v>
      </c>
      <c r="H28" t="s">
        <v>772</v>
      </c>
      <c r="J28" s="212">
        <v>6.8090000000000002</v>
      </c>
      <c r="K28" s="212">
        <v>0.745</v>
      </c>
      <c r="L28" s="212">
        <v>3.5000000000000003E-2</v>
      </c>
      <c r="M28" s="367">
        <v>4001.3</v>
      </c>
      <c r="N28" s="213">
        <v>4.0999999999999996</v>
      </c>
      <c r="O28" s="213">
        <v>7.17</v>
      </c>
      <c r="P28" s="212">
        <v>0.245</v>
      </c>
    </row>
    <row r="29" spans="6:16" x14ac:dyDescent="0.35">
      <c r="F29" t="s">
        <v>919</v>
      </c>
      <c r="H29" t="s">
        <v>772</v>
      </c>
      <c r="J29" s="212">
        <v>4.5449999999999999</v>
      </c>
      <c r="K29" s="212">
        <v>0.34</v>
      </c>
      <c r="L29" s="212">
        <v>1.4999999999999999E-2</v>
      </c>
      <c r="M29" s="367">
        <v>59.03</v>
      </c>
      <c r="N29" s="213">
        <v>5.51</v>
      </c>
      <c r="O29" s="213">
        <v>7.06</v>
      </c>
      <c r="P29" s="212">
        <v>0.13700000000000001</v>
      </c>
    </row>
    <row r="30" spans="6:16" x14ac:dyDescent="0.35">
      <c r="F30" t="s">
        <v>920</v>
      </c>
      <c r="H30" t="s">
        <v>772</v>
      </c>
      <c r="J30" s="212">
        <v>4.5449999999999999</v>
      </c>
      <c r="K30" s="212">
        <v>0.34</v>
      </c>
      <c r="L30" s="212">
        <v>1.4999999999999999E-2</v>
      </c>
      <c r="M30" s="367">
        <v>613.11</v>
      </c>
      <c r="N30" s="213">
        <v>5.51</v>
      </c>
      <c r="O30" s="213">
        <v>7.06</v>
      </c>
      <c r="P30" s="212">
        <v>0.13700000000000001</v>
      </c>
    </row>
    <row r="31" spans="6:16" x14ac:dyDescent="0.35">
      <c r="F31" t="s">
        <v>921</v>
      </c>
      <c r="H31" t="s">
        <v>772</v>
      </c>
      <c r="J31" s="330">
        <v>4.5449999999999999</v>
      </c>
      <c r="K31" s="330">
        <v>0.34</v>
      </c>
      <c r="L31" s="330">
        <v>1.4999999999999999E-2</v>
      </c>
      <c r="M31" s="368">
        <v>988.67</v>
      </c>
      <c r="N31" s="331">
        <v>5.51</v>
      </c>
      <c r="O31" s="331">
        <v>7.06</v>
      </c>
      <c r="P31" s="330">
        <v>0.13700000000000001</v>
      </c>
    </row>
    <row r="32" spans="6:16" x14ac:dyDescent="0.35">
      <c r="F32" t="s">
        <v>922</v>
      </c>
      <c r="H32" t="s">
        <v>772</v>
      </c>
      <c r="J32" s="330">
        <v>4.5449999999999999</v>
      </c>
      <c r="K32" s="330">
        <v>0.34</v>
      </c>
      <c r="L32" s="330">
        <v>1.4999999999999999E-2</v>
      </c>
      <c r="M32" s="368">
        <v>1630.53</v>
      </c>
      <c r="N32" s="331">
        <v>5.51</v>
      </c>
      <c r="O32" s="331">
        <v>7.06</v>
      </c>
      <c r="P32" s="330">
        <v>0.13700000000000001</v>
      </c>
    </row>
    <row r="33" spans="6:16" x14ac:dyDescent="0.35">
      <c r="F33" t="s">
        <v>923</v>
      </c>
      <c r="H33" t="s">
        <v>772</v>
      </c>
      <c r="J33" s="330">
        <v>4.5449999999999999</v>
      </c>
      <c r="K33" s="330">
        <v>0.34</v>
      </c>
      <c r="L33" s="330">
        <v>1.4999999999999999E-2</v>
      </c>
      <c r="M33" s="368">
        <v>4037</v>
      </c>
      <c r="N33" s="331">
        <v>5.51</v>
      </c>
      <c r="O33" s="331">
        <v>7.06</v>
      </c>
      <c r="P33" s="330">
        <v>0.13700000000000001</v>
      </c>
    </row>
    <row r="34" spans="6:16" x14ac:dyDescent="0.35">
      <c r="F34" t="s">
        <v>924</v>
      </c>
      <c r="H34" t="s">
        <v>772</v>
      </c>
      <c r="J34" s="330">
        <v>3.6110000000000002</v>
      </c>
      <c r="K34" s="330">
        <v>0.24</v>
      </c>
      <c r="L34" s="330">
        <v>1.0999999999999999E-2</v>
      </c>
      <c r="M34" s="368">
        <v>209.66</v>
      </c>
      <c r="N34" s="331">
        <v>6.49</v>
      </c>
      <c r="O34" s="331">
        <v>7.75</v>
      </c>
      <c r="P34" s="330">
        <v>0.104</v>
      </c>
    </row>
    <row r="35" spans="6:16" x14ac:dyDescent="0.35">
      <c r="F35" t="s">
        <v>925</v>
      </c>
      <c r="H35" t="s">
        <v>772</v>
      </c>
      <c r="J35" s="330">
        <v>3.6110000000000002</v>
      </c>
      <c r="K35" s="330">
        <v>0.24</v>
      </c>
      <c r="L35" s="330">
        <v>1.0999999999999999E-2</v>
      </c>
      <c r="M35" s="368">
        <v>3340.4</v>
      </c>
      <c r="N35" s="331">
        <v>6.49</v>
      </c>
      <c r="O35" s="331">
        <v>7.75</v>
      </c>
      <c r="P35" s="330">
        <v>0.104</v>
      </c>
    </row>
    <row r="36" spans="6:16" x14ac:dyDescent="0.35">
      <c r="F36" t="s">
        <v>926</v>
      </c>
      <c r="H36" t="s">
        <v>772</v>
      </c>
      <c r="J36" s="330">
        <v>3.6110000000000002</v>
      </c>
      <c r="K36" s="330">
        <v>0.24</v>
      </c>
      <c r="L36" s="330">
        <v>1.0999999999999999E-2</v>
      </c>
      <c r="M36" s="368">
        <v>8321.93</v>
      </c>
      <c r="N36" s="331">
        <v>6.49</v>
      </c>
      <c r="O36" s="331">
        <v>7.75</v>
      </c>
      <c r="P36" s="330">
        <v>0.104</v>
      </c>
    </row>
    <row r="37" spans="6:16" x14ac:dyDescent="0.35">
      <c r="F37" t="s">
        <v>927</v>
      </c>
      <c r="H37" t="s">
        <v>772</v>
      </c>
      <c r="J37" s="330">
        <v>3.6110000000000002</v>
      </c>
      <c r="K37" s="330">
        <v>0.24</v>
      </c>
      <c r="L37" s="330">
        <v>1.0999999999999999E-2</v>
      </c>
      <c r="M37" s="368">
        <v>16100.24</v>
      </c>
      <c r="N37" s="331">
        <v>6.49</v>
      </c>
      <c r="O37" s="331">
        <v>7.75</v>
      </c>
      <c r="P37" s="330">
        <v>0.104</v>
      </c>
    </row>
    <row r="38" spans="6:16" x14ac:dyDescent="0.35">
      <c r="F38" t="s">
        <v>928</v>
      </c>
      <c r="H38" t="s">
        <v>772</v>
      </c>
      <c r="J38" s="330">
        <v>3.6110000000000002</v>
      </c>
      <c r="K38" s="330">
        <v>0.24</v>
      </c>
      <c r="L38" s="330">
        <v>1.0999999999999999E-2</v>
      </c>
      <c r="M38" s="368">
        <v>41095.97</v>
      </c>
      <c r="N38" s="331">
        <v>6.49</v>
      </c>
      <c r="O38" s="331">
        <v>7.75</v>
      </c>
      <c r="P38" s="330">
        <v>0.104</v>
      </c>
    </row>
    <row r="39" spans="6:16" x14ac:dyDescent="0.35">
      <c r="F39" t="s">
        <v>839</v>
      </c>
      <c r="H39" t="s">
        <v>772</v>
      </c>
      <c r="J39" s="330">
        <v>27.384</v>
      </c>
      <c r="K39" s="330">
        <v>6.21</v>
      </c>
      <c r="L39" s="330">
        <v>5.1589999999999998</v>
      </c>
      <c r="M39" s="368">
        <v>0</v>
      </c>
      <c r="N39" s="331">
        <v>0</v>
      </c>
      <c r="O39" s="331">
        <v>0</v>
      </c>
      <c r="P39" s="330">
        <v>0</v>
      </c>
    </row>
    <row r="40" spans="6:16" x14ac:dyDescent="0.35">
      <c r="F40" t="s">
        <v>831</v>
      </c>
      <c r="H40" t="s">
        <v>772</v>
      </c>
      <c r="J40" s="330">
        <v>-6.4669999999999996</v>
      </c>
      <c r="K40" s="330">
        <v>-0.82199999999999995</v>
      </c>
      <c r="L40" s="330">
        <v>-0.04</v>
      </c>
      <c r="M40" s="368">
        <v>0</v>
      </c>
      <c r="N40" s="331">
        <v>0</v>
      </c>
      <c r="O40" s="331">
        <v>0</v>
      </c>
      <c r="P40" s="330">
        <v>0</v>
      </c>
    </row>
    <row r="41" spans="6:16" x14ac:dyDescent="0.35">
      <c r="F41" t="s">
        <v>832</v>
      </c>
      <c r="H41" t="s">
        <v>772</v>
      </c>
      <c r="J41" s="330">
        <v>-5.7430000000000003</v>
      </c>
      <c r="K41" s="330">
        <v>-0.66700000000000004</v>
      </c>
      <c r="L41" s="330">
        <v>-3.2000000000000001E-2</v>
      </c>
      <c r="M41" s="368">
        <v>0</v>
      </c>
      <c r="N41" s="331">
        <v>0</v>
      </c>
      <c r="O41" s="331">
        <v>0</v>
      </c>
      <c r="P41" s="330">
        <v>0</v>
      </c>
    </row>
    <row r="42" spans="6:16" x14ac:dyDescent="0.35">
      <c r="F42" t="s">
        <v>833</v>
      </c>
      <c r="H42" t="s">
        <v>772</v>
      </c>
      <c r="J42" s="330">
        <v>-6.4669999999999996</v>
      </c>
      <c r="K42" s="330">
        <v>-0.82199999999999995</v>
      </c>
      <c r="L42" s="330">
        <v>-0.04</v>
      </c>
      <c r="M42" s="368">
        <v>0</v>
      </c>
      <c r="N42" s="331">
        <v>0</v>
      </c>
      <c r="O42" s="331">
        <v>0</v>
      </c>
      <c r="P42" s="330">
        <v>0.254</v>
      </c>
    </row>
    <row r="43" spans="6:16" x14ac:dyDescent="0.35">
      <c r="F43" t="s">
        <v>842</v>
      </c>
      <c r="H43" t="s">
        <v>772</v>
      </c>
      <c r="J43" s="330">
        <v>-6.4669999999999996</v>
      </c>
      <c r="K43" s="330">
        <v>-0.82199999999999995</v>
      </c>
      <c r="L43" s="330">
        <v>-0.04</v>
      </c>
      <c r="M43" s="368">
        <v>0</v>
      </c>
      <c r="N43" s="331">
        <v>0</v>
      </c>
      <c r="O43" s="331">
        <v>0</v>
      </c>
      <c r="P43" s="330">
        <v>0</v>
      </c>
    </row>
    <row r="44" spans="6:16" x14ac:dyDescent="0.35">
      <c r="F44" t="s">
        <v>834</v>
      </c>
      <c r="H44" t="s">
        <v>772</v>
      </c>
      <c r="J44" s="330">
        <v>-5.7430000000000003</v>
      </c>
      <c r="K44" s="330">
        <v>-0.66700000000000004</v>
      </c>
      <c r="L44" s="330">
        <v>-3.2000000000000001E-2</v>
      </c>
      <c r="M44" s="368">
        <v>0</v>
      </c>
      <c r="N44" s="331">
        <v>0</v>
      </c>
      <c r="O44" s="331">
        <v>0</v>
      </c>
      <c r="P44" s="330">
        <v>0.21</v>
      </c>
    </row>
    <row r="45" spans="6:16" x14ac:dyDescent="0.35">
      <c r="F45" t="s">
        <v>841</v>
      </c>
      <c r="H45" t="s">
        <v>772</v>
      </c>
      <c r="J45" s="330">
        <v>-5.7430000000000003</v>
      </c>
      <c r="K45" s="330">
        <v>-0.66700000000000004</v>
      </c>
      <c r="L45" s="330">
        <v>-3.2000000000000001E-2</v>
      </c>
      <c r="M45" s="368">
        <v>0</v>
      </c>
      <c r="N45" s="331">
        <v>0</v>
      </c>
      <c r="O45" s="331">
        <v>0</v>
      </c>
      <c r="P45" s="330">
        <v>0</v>
      </c>
    </row>
    <row r="46" spans="6:16" x14ac:dyDescent="0.35">
      <c r="F46" t="s">
        <v>835</v>
      </c>
      <c r="H46" t="s">
        <v>772</v>
      </c>
      <c r="J46" s="330">
        <v>-4.4080000000000004</v>
      </c>
      <c r="K46" s="330">
        <v>-0.32900000000000001</v>
      </c>
      <c r="L46" s="330">
        <v>-1.4999999999999999E-2</v>
      </c>
      <c r="M46" s="368">
        <v>416.38</v>
      </c>
      <c r="N46" s="331">
        <v>0</v>
      </c>
      <c r="O46" s="331">
        <v>0</v>
      </c>
      <c r="P46" s="330">
        <v>0.182</v>
      </c>
    </row>
    <row r="47" spans="6:16" x14ac:dyDescent="0.35">
      <c r="F47" s="28" t="s">
        <v>840</v>
      </c>
      <c r="G47" s="28"/>
      <c r="H47" s="28" t="s">
        <v>772</v>
      </c>
      <c r="I47" s="28"/>
      <c r="J47" s="214">
        <v>-4.4080000000000004</v>
      </c>
      <c r="K47" s="214">
        <v>-0.32900000000000001</v>
      </c>
      <c r="L47" s="214">
        <v>-1.4999999999999999E-2</v>
      </c>
      <c r="M47" s="369">
        <v>416.38</v>
      </c>
      <c r="N47" s="215">
        <v>0</v>
      </c>
      <c r="O47" s="215">
        <v>0</v>
      </c>
      <c r="P47" s="214">
        <v>0</v>
      </c>
    </row>
    <row r="48" spans="6:16" x14ac:dyDescent="0.35">
      <c r="F48" s="2"/>
      <c r="J48" s="13"/>
      <c r="K48" s="13"/>
      <c r="L48" s="13"/>
      <c r="M48" s="216"/>
      <c r="N48" s="216"/>
      <c r="O48" s="216"/>
      <c r="P48" s="13"/>
    </row>
    <row r="49" spans="4:16" x14ac:dyDescent="0.35">
      <c r="D49" s="27"/>
      <c r="E49" s="27" t="s">
        <v>805</v>
      </c>
      <c r="F49" s="2"/>
      <c r="J49" s="13"/>
      <c r="K49" s="13"/>
      <c r="L49" s="13"/>
      <c r="M49" s="216"/>
      <c r="N49" s="216"/>
      <c r="O49" s="216"/>
      <c r="P49" s="13"/>
    </row>
    <row r="50" spans="4:16" x14ac:dyDescent="0.35">
      <c r="F50" s="19" t="s">
        <v>908</v>
      </c>
      <c r="G50" s="19"/>
      <c r="H50" s="19" t="s">
        <v>447</v>
      </c>
      <c r="I50" s="19"/>
      <c r="J50" s="210">
        <f t="array" ref="J50:P81">TRANSPOSE(Rounding!J159:AO165)</f>
        <v>5.8609999999999998</v>
      </c>
      <c r="K50" s="210">
        <v>0.745</v>
      </c>
      <c r="L50" s="210">
        <v>3.5999999999999997E-2</v>
      </c>
      <c r="M50" s="366">
        <v>16.61</v>
      </c>
      <c r="N50" s="211">
        <v>0</v>
      </c>
      <c r="O50" s="211">
        <v>0</v>
      </c>
      <c r="P50" s="210">
        <v>0</v>
      </c>
    </row>
    <row r="51" spans="4:16" x14ac:dyDescent="0.35">
      <c r="F51" t="s">
        <v>829</v>
      </c>
      <c r="H51" t="s">
        <v>447</v>
      </c>
      <c r="J51" s="212">
        <v>5.8609999999999998</v>
      </c>
      <c r="K51" s="212">
        <v>0.745</v>
      </c>
      <c r="L51" s="212">
        <v>3.5999999999999997E-2</v>
      </c>
      <c r="M51" s="367">
        <v>0</v>
      </c>
      <c r="N51" s="213">
        <v>0</v>
      </c>
      <c r="O51" s="213">
        <v>0</v>
      </c>
      <c r="P51" s="212">
        <v>0</v>
      </c>
    </row>
    <row r="52" spans="4:16" x14ac:dyDescent="0.35">
      <c r="F52" t="s">
        <v>909</v>
      </c>
      <c r="H52" t="s">
        <v>447</v>
      </c>
      <c r="J52" s="212">
        <v>5.4820000000000002</v>
      </c>
      <c r="K52" s="212">
        <v>0.69699999999999995</v>
      </c>
      <c r="L52" s="212">
        <v>3.4000000000000002E-2</v>
      </c>
      <c r="M52" s="367">
        <v>6.55</v>
      </c>
      <c r="N52" s="213">
        <v>0</v>
      </c>
      <c r="O52" s="213">
        <v>0</v>
      </c>
      <c r="P52" s="212">
        <v>0</v>
      </c>
    </row>
    <row r="53" spans="4:16" x14ac:dyDescent="0.35">
      <c r="F53" t="s">
        <v>910</v>
      </c>
      <c r="H53" t="s">
        <v>447</v>
      </c>
      <c r="J53" s="212">
        <v>5.4820000000000002</v>
      </c>
      <c r="K53" s="212">
        <v>0.69699999999999995</v>
      </c>
      <c r="L53" s="212">
        <v>3.4000000000000002E-2</v>
      </c>
      <c r="M53" s="367">
        <v>17.97</v>
      </c>
      <c r="N53" s="213">
        <v>0</v>
      </c>
      <c r="O53" s="213">
        <v>0</v>
      </c>
      <c r="P53" s="212">
        <v>0</v>
      </c>
    </row>
    <row r="54" spans="4:16" x14ac:dyDescent="0.35">
      <c r="F54" t="s">
        <v>911</v>
      </c>
      <c r="H54" t="s">
        <v>447</v>
      </c>
      <c r="J54" s="212">
        <v>5.4820000000000002</v>
      </c>
      <c r="K54" s="212">
        <v>0.69699999999999995</v>
      </c>
      <c r="L54" s="212">
        <v>3.4000000000000002E-2</v>
      </c>
      <c r="M54" s="367">
        <v>37.82</v>
      </c>
      <c r="N54" s="213">
        <v>0</v>
      </c>
      <c r="O54" s="213">
        <v>0</v>
      </c>
      <c r="P54" s="212">
        <v>0</v>
      </c>
    </row>
    <row r="55" spans="4:16" x14ac:dyDescent="0.35">
      <c r="F55" t="s">
        <v>912</v>
      </c>
      <c r="H55" t="s">
        <v>447</v>
      </c>
      <c r="J55" s="212">
        <v>5.4820000000000002</v>
      </c>
      <c r="K55" s="212">
        <v>0.69699999999999995</v>
      </c>
      <c r="L55" s="212">
        <v>3.4000000000000002E-2</v>
      </c>
      <c r="M55" s="367">
        <v>75.8</v>
      </c>
      <c r="N55" s="213">
        <v>0</v>
      </c>
      <c r="O55" s="213">
        <v>0</v>
      </c>
      <c r="P55" s="212">
        <v>0</v>
      </c>
    </row>
    <row r="56" spans="4:16" x14ac:dyDescent="0.35">
      <c r="F56" t="s">
        <v>913</v>
      </c>
      <c r="H56" t="s">
        <v>447</v>
      </c>
      <c r="J56" s="212">
        <v>5.4820000000000002</v>
      </c>
      <c r="K56" s="212">
        <v>0.69699999999999995</v>
      </c>
      <c r="L56" s="212">
        <v>3.4000000000000002E-2</v>
      </c>
      <c r="M56" s="367">
        <v>201.31</v>
      </c>
      <c r="N56" s="213">
        <v>0</v>
      </c>
      <c r="O56" s="213">
        <v>0</v>
      </c>
      <c r="P56" s="212">
        <v>0</v>
      </c>
    </row>
    <row r="57" spans="4:16" x14ac:dyDescent="0.35">
      <c r="F57" t="s">
        <v>830</v>
      </c>
      <c r="H57" t="s">
        <v>447</v>
      </c>
      <c r="J57" s="212">
        <v>5.4820000000000002</v>
      </c>
      <c r="K57" s="212">
        <v>0.69699999999999995</v>
      </c>
      <c r="L57" s="212">
        <v>3.4000000000000002E-2</v>
      </c>
      <c r="M57" s="367">
        <v>0</v>
      </c>
      <c r="N57" s="213">
        <v>0</v>
      </c>
      <c r="O57" s="213">
        <v>0</v>
      </c>
      <c r="P57" s="212">
        <v>0</v>
      </c>
    </row>
    <row r="58" spans="4:16" x14ac:dyDescent="0.35">
      <c r="F58" t="s">
        <v>914</v>
      </c>
      <c r="H58" t="s">
        <v>447</v>
      </c>
      <c r="J58" s="212">
        <v>4.2830000000000004</v>
      </c>
      <c r="K58" s="212">
        <v>0.46899999999999997</v>
      </c>
      <c r="L58" s="212">
        <v>2.1999999999999999E-2</v>
      </c>
      <c r="M58" s="367">
        <v>14.87</v>
      </c>
      <c r="N58" s="213">
        <v>2.58</v>
      </c>
      <c r="O58" s="213">
        <v>4.51</v>
      </c>
      <c r="P58" s="212">
        <v>0.154</v>
      </c>
    </row>
    <row r="59" spans="4:16" x14ac:dyDescent="0.35">
      <c r="F59" t="s">
        <v>915</v>
      </c>
      <c r="H59" t="s">
        <v>447</v>
      </c>
      <c r="J59" s="212">
        <v>4.2830000000000004</v>
      </c>
      <c r="K59" s="212">
        <v>0.46899999999999997</v>
      </c>
      <c r="L59" s="212">
        <v>2.1999999999999999E-2</v>
      </c>
      <c r="M59" s="367">
        <v>363.4</v>
      </c>
      <c r="N59" s="213">
        <v>2.58</v>
      </c>
      <c r="O59" s="213">
        <v>4.51</v>
      </c>
      <c r="P59" s="212">
        <v>0.154</v>
      </c>
    </row>
    <row r="60" spans="4:16" x14ac:dyDescent="0.35">
      <c r="F60" t="s">
        <v>916</v>
      </c>
      <c r="H60" t="s">
        <v>447</v>
      </c>
      <c r="J60" s="212">
        <v>4.2830000000000004</v>
      </c>
      <c r="K60" s="212">
        <v>0.46899999999999997</v>
      </c>
      <c r="L60" s="212">
        <v>2.1999999999999999E-2</v>
      </c>
      <c r="M60" s="367">
        <v>599.64</v>
      </c>
      <c r="N60" s="213">
        <v>2.58</v>
      </c>
      <c r="O60" s="213">
        <v>4.51</v>
      </c>
      <c r="P60" s="212">
        <v>0.154</v>
      </c>
    </row>
    <row r="61" spans="4:16" x14ac:dyDescent="0.35">
      <c r="F61" t="s">
        <v>917</v>
      </c>
      <c r="H61" t="s">
        <v>447</v>
      </c>
      <c r="J61" s="212">
        <v>4.2830000000000004</v>
      </c>
      <c r="K61" s="212">
        <v>0.46899999999999997</v>
      </c>
      <c r="L61" s="212">
        <v>2.1999999999999999E-2</v>
      </c>
      <c r="M61" s="367">
        <v>1003.38</v>
      </c>
      <c r="N61" s="213">
        <v>2.58</v>
      </c>
      <c r="O61" s="213">
        <v>4.51</v>
      </c>
      <c r="P61" s="212">
        <v>0.154</v>
      </c>
    </row>
    <row r="62" spans="4:16" x14ac:dyDescent="0.35">
      <c r="F62" t="s">
        <v>918</v>
      </c>
      <c r="H62" t="s">
        <v>447</v>
      </c>
      <c r="J62" s="212">
        <v>4.2830000000000004</v>
      </c>
      <c r="K62" s="212">
        <v>0.46899999999999997</v>
      </c>
      <c r="L62" s="212">
        <v>2.1999999999999999E-2</v>
      </c>
      <c r="M62" s="367">
        <v>2517.12</v>
      </c>
      <c r="N62" s="213">
        <v>2.58</v>
      </c>
      <c r="O62" s="213">
        <v>4.51</v>
      </c>
      <c r="P62" s="212">
        <v>0.154</v>
      </c>
    </row>
    <row r="63" spans="4:16" x14ac:dyDescent="0.35">
      <c r="F63" t="s">
        <v>919</v>
      </c>
      <c r="H63" t="s">
        <v>447</v>
      </c>
      <c r="J63" s="217">
        <v>0</v>
      </c>
      <c r="K63" s="217">
        <v>0</v>
      </c>
      <c r="L63" s="217">
        <v>0</v>
      </c>
      <c r="M63" s="379">
        <v>0</v>
      </c>
      <c r="N63" s="333">
        <v>0</v>
      </c>
      <c r="O63" s="333">
        <v>0</v>
      </c>
      <c r="P63" s="217">
        <v>0</v>
      </c>
    </row>
    <row r="64" spans="4:16" x14ac:dyDescent="0.35">
      <c r="F64" t="s">
        <v>920</v>
      </c>
      <c r="H64" t="s">
        <v>447</v>
      </c>
      <c r="J64" s="217">
        <v>0</v>
      </c>
      <c r="K64" s="217">
        <v>0</v>
      </c>
      <c r="L64" s="217">
        <v>0</v>
      </c>
      <c r="M64" s="379">
        <v>0</v>
      </c>
      <c r="N64" s="333">
        <v>0</v>
      </c>
      <c r="O64" s="333">
        <v>0</v>
      </c>
      <c r="P64" s="217">
        <v>0</v>
      </c>
    </row>
    <row r="65" spans="6:16" x14ac:dyDescent="0.35">
      <c r="F65" t="s">
        <v>921</v>
      </c>
      <c r="H65" t="s">
        <v>447</v>
      </c>
      <c r="J65" s="332">
        <v>0</v>
      </c>
      <c r="K65" s="332">
        <v>0</v>
      </c>
      <c r="L65" s="332">
        <v>0</v>
      </c>
      <c r="M65" s="380">
        <v>0</v>
      </c>
      <c r="N65" s="334">
        <v>0</v>
      </c>
      <c r="O65" s="334">
        <v>0</v>
      </c>
      <c r="P65" s="332">
        <v>0</v>
      </c>
    </row>
    <row r="66" spans="6:16" x14ac:dyDescent="0.35">
      <c r="F66" t="s">
        <v>922</v>
      </c>
      <c r="H66" t="s">
        <v>447</v>
      </c>
      <c r="J66" s="332">
        <v>0</v>
      </c>
      <c r="K66" s="332">
        <v>0</v>
      </c>
      <c r="L66" s="332">
        <v>0</v>
      </c>
      <c r="M66" s="380">
        <v>0</v>
      </c>
      <c r="N66" s="334">
        <v>0</v>
      </c>
      <c r="O66" s="334">
        <v>0</v>
      </c>
      <c r="P66" s="332">
        <v>0</v>
      </c>
    </row>
    <row r="67" spans="6:16" x14ac:dyDescent="0.35">
      <c r="F67" t="s">
        <v>923</v>
      </c>
      <c r="H67" t="s">
        <v>447</v>
      </c>
      <c r="J67" s="332">
        <v>0</v>
      </c>
      <c r="K67" s="332">
        <v>0</v>
      </c>
      <c r="L67" s="332">
        <v>0</v>
      </c>
      <c r="M67" s="380">
        <v>0</v>
      </c>
      <c r="N67" s="334">
        <v>0</v>
      </c>
      <c r="O67" s="334">
        <v>0</v>
      </c>
      <c r="P67" s="332">
        <v>0</v>
      </c>
    </row>
    <row r="68" spans="6:16" x14ac:dyDescent="0.35">
      <c r="F68" t="s">
        <v>924</v>
      </c>
      <c r="H68" t="s">
        <v>447</v>
      </c>
      <c r="J68" s="332">
        <v>0</v>
      </c>
      <c r="K68" s="332">
        <v>0</v>
      </c>
      <c r="L68" s="332">
        <v>0</v>
      </c>
      <c r="M68" s="380">
        <v>0</v>
      </c>
      <c r="N68" s="334">
        <v>0</v>
      </c>
      <c r="O68" s="334">
        <v>0</v>
      </c>
      <c r="P68" s="332">
        <v>0</v>
      </c>
    </row>
    <row r="69" spans="6:16" x14ac:dyDescent="0.35">
      <c r="F69" t="s">
        <v>925</v>
      </c>
      <c r="H69" t="s">
        <v>447</v>
      </c>
      <c r="J69" s="332">
        <v>0</v>
      </c>
      <c r="K69" s="332">
        <v>0</v>
      </c>
      <c r="L69" s="332">
        <v>0</v>
      </c>
      <c r="M69" s="380">
        <v>0</v>
      </c>
      <c r="N69" s="334">
        <v>0</v>
      </c>
      <c r="O69" s="334">
        <v>0</v>
      </c>
      <c r="P69" s="332">
        <v>0</v>
      </c>
    </row>
    <row r="70" spans="6:16" x14ac:dyDescent="0.35">
      <c r="F70" t="s">
        <v>926</v>
      </c>
      <c r="H70" t="s">
        <v>447</v>
      </c>
      <c r="J70" s="332">
        <v>0</v>
      </c>
      <c r="K70" s="332">
        <v>0</v>
      </c>
      <c r="L70" s="332">
        <v>0</v>
      </c>
      <c r="M70" s="380">
        <v>0</v>
      </c>
      <c r="N70" s="334">
        <v>0</v>
      </c>
      <c r="O70" s="334">
        <v>0</v>
      </c>
      <c r="P70" s="332">
        <v>0</v>
      </c>
    </row>
    <row r="71" spans="6:16" x14ac:dyDescent="0.35">
      <c r="F71" t="s">
        <v>927</v>
      </c>
      <c r="H71" t="s">
        <v>447</v>
      </c>
      <c r="J71" s="332">
        <v>0</v>
      </c>
      <c r="K71" s="332">
        <v>0</v>
      </c>
      <c r="L71" s="332">
        <v>0</v>
      </c>
      <c r="M71" s="380">
        <v>0</v>
      </c>
      <c r="N71" s="334">
        <v>0</v>
      </c>
      <c r="O71" s="334">
        <v>0</v>
      </c>
      <c r="P71" s="332">
        <v>0</v>
      </c>
    </row>
    <row r="72" spans="6:16" x14ac:dyDescent="0.35">
      <c r="F72" t="s">
        <v>928</v>
      </c>
      <c r="H72" t="s">
        <v>447</v>
      </c>
      <c r="J72" s="332">
        <v>0</v>
      </c>
      <c r="K72" s="332">
        <v>0</v>
      </c>
      <c r="L72" s="332">
        <v>0</v>
      </c>
      <c r="M72" s="380">
        <v>0</v>
      </c>
      <c r="N72" s="334">
        <v>0</v>
      </c>
      <c r="O72" s="334">
        <v>0</v>
      </c>
      <c r="P72" s="332">
        <v>0</v>
      </c>
    </row>
    <row r="73" spans="6:16" x14ac:dyDescent="0.35">
      <c r="F73" t="s">
        <v>839</v>
      </c>
      <c r="H73" t="s">
        <v>447</v>
      </c>
      <c r="J73" s="330">
        <v>17.225000000000001</v>
      </c>
      <c r="K73" s="330">
        <v>3.9060000000000001</v>
      </c>
      <c r="L73" s="330">
        <v>3.2450000000000001</v>
      </c>
      <c r="M73" s="368">
        <v>0</v>
      </c>
      <c r="N73" s="331">
        <v>0</v>
      </c>
      <c r="O73" s="331">
        <v>0</v>
      </c>
      <c r="P73" s="330">
        <v>0</v>
      </c>
    </row>
    <row r="74" spans="6:16" x14ac:dyDescent="0.35">
      <c r="F74" t="s">
        <v>831</v>
      </c>
      <c r="H74" t="s">
        <v>447</v>
      </c>
      <c r="J74" s="330">
        <v>-6.4669999999999996</v>
      </c>
      <c r="K74" s="330">
        <v>-0.82199999999999995</v>
      </c>
      <c r="L74" s="330">
        <v>-0.04</v>
      </c>
      <c r="M74" s="368">
        <v>0</v>
      </c>
      <c r="N74" s="331">
        <v>0</v>
      </c>
      <c r="O74" s="331">
        <v>0</v>
      </c>
      <c r="P74" s="330">
        <v>0</v>
      </c>
    </row>
    <row r="75" spans="6:16" x14ac:dyDescent="0.35">
      <c r="F75" t="s">
        <v>832</v>
      </c>
      <c r="H75" t="s">
        <v>447</v>
      </c>
      <c r="J75" s="332">
        <v>0</v>
      </c>
      <c r="K75" s="332">
        <v>0</v>
      </c>
      <c r="L75" s="332">
        <v>0</v>
      </c>
      <c r="M75" s="380">
        <v>0</v>
      </c>
      <c r="N75" s="334">
        <v>0</v>
      </c>
      <c r="O75" s="334">
        <v>0</v>
      </c>
      <c r="P75" s="332">
        <v>0</v>
      </c>
    </row>
    <row r="76" spans="6:16" x14ac:dyDescent="0.35">
      <c r="F76" t="s">
        <v>833</v>
      </c>
      <c r="H76" t="s">
        <v>447</v>
      </c>
      <c r="J76" s="330">
        <v>-6.4669999999999996</v>
      </c>
      <c r="K76" s="330">
        <v>-0.82199999999999995</v>
      </c>
      <c r="L76" s="330">
        <v>-0.04</v>
      </c>
      <c r="M76" s="368">
        <v>0</v>
      </c>
      <c r="N76" s="331">
        <v>0</v>
      </c>
      <c r="O76" s="331">
        <v>0</v>
      </c>
      <c r="P76" s="330">
        <v>0.254</v>
      </c>
    </row>
    <row r="77" spans="6:16" x14ac:dyDescent="0.35">
      <c r="F77" t="s">
        <v>842</v>
      </c>
      <c r="H77" t="s">
        <v>447</v>
      </c>
      <c r="J77" s="332">
        <v>0</v>
      </c>
      <c r="K77" s="332">
        <v>0</v>
      </c>
      <c r="L77" s="332">
        <v>0</v>
      </c>
      <c r="M77" s="380">
        <v>0</v>
      </c>
      <c r="N77" s="334">
        <v>0</v>
      </c>
      <c r="O77" s="334">
        <v>0</v>
      </c>
      <c r="P77" s="332">
        <v>0</v>
      </c>
    </row>
    <row r="78" spans="6:16" x14ac:dyDescent="0.35">
      <c r="F78" t="s">
        <v>834</v>
      </c>
      <c r="H78" t="s">
        <v>447</v>
      </c>
      <c r="J78" s="332">
        <v>0</v>
      </c>
      <c r="K78" s="332">
        <v>0</v>
      </c>
      <c r="L78" s="332">
        <v>0</v>
      </c>
      <c r="M78" s="380">
        <v>0</v>
      </c>
      <c r="N78" s="334">
        <v>0</v>
      </c>
      <c r="O78" s="334">
        <v>0</v>
      </c>
      <c r="P78" s="332">
        <v>0</v>
      </c>
    </row>
    <row r="79" spans="6:16" x14ac:dyDescent="0.35">
      <c r="F79" t="s">
        <v>841</v>
      </c>
      <c r="H79" t="s">
        <v>447</v>
      </c>
      <c r="J79" s="332">
        <v>0</v>
      </c>
      <c r="K79" s="332">
        <v>0</v>
      </c>
      <c r="L79" s="332">
        <v>0</v>
      </c>
      <c r="M79" s="380">
        <v>0</v>
      </c>
      <c r="N79" s="334">
        <v>0</v>
      </c>
      <c r="O79" s="334">
        <v>0</v>
      </c>
      <c r="P79" s="332">
        <v>0</v>
      </c>
    </row>
    <row r="80" spans="6:16" x14ac:dyDescent="0.35">
      <c r="F80" t="s">
        <v>835</v>
      </c>
      <c r="H80" t="s">
        <v>447</v>
      </c>
      <c r="J80" s="332">
        <v>0</v>
      </c>
      <c r="K80" s="332">
        <v>0</v>
      </c>
      <c r="L80" s="332">
        <v>0</v>
      </c>
      <c r="M80" s="380">
        <v>0</v>
      </c>
      <c r="N80" s="334">
        <v>0</v>
      </c>
      <c r="O80" s="334">
        <v>0</v>
      </c>
      <c r="P80" s="332">
        <v>0</v>
      </c>
    </row>
    <row r="81" spans="4:16" x14ac:dyDescent="0.35">
      <c r="F81" s="28" t="s">
        <v>840</v>
      </c>
      <c r="G81" s="28"/>
      <c r="H81" s="28" t="s">
        <v>447</v>
      </c>
      <c r="I81" s="28"/>
      <c r="J81" s="218">
        <v>0</v>
      </c>
      <c r="K81" s="218">
        <v>0</v>
      </c>
      <c r="L81" s="218">
        <v>0</v>
      </c>
      <c r="M81" s="381">
        <v>0</v>
      </c>
      <c r="N81" s="335">
        <v>0</v>
      </c>
      <c r="O81" s="335">
        <v>0</v>
      </c>
      <c r="P81" s="218">
        <v>0</v>
      </c>
    </row>
    <row r="82" spans="4:16" x14ac:dyDescent="0.35">
      <c r="D82"/>
      <c r="E82"/>
      <c r="M82" s="219"/>
      <c r="N82" s="219"/>
      <c r="O82" s="219"/>
    </row>
    <row r="83" spans="4:16" x14ac:dyDescent="0.35">
      <c r="D83" s="27"/>
      <c r="E83" s="27" t="s">
        <v>806</v>
      </c>
      <c r="M83" s="219"/>
      <c r="N83" s="219"/>
      <c r="O83" s="219"/>
    </row>
    <row r="84" spans="4:16" x14ac:dyDescent="0.35">
      <c r="F84" s="19" t="s">
        <v>908</v>
      </c>
      <c r="G84" s="19"/>
      <c r="H84" s="19" t="s">
        <v>448</v>
      </c>
      <c r="I84" s="19"/>
      <c r="J84" s="210">
        <f t="array" ref="J84:P115">TRANSPOSE(Rounding!J168:AO174)</f>
        <v>4.2370000000000001</v>
      </c>
      <c r="K84" s="210">
        <v>0.53800000000000003</v>
      </c>
      <c r="L84" s="210">
        <v>2.5999999999999999E-2</v>
      </c>
      <c r="M84" s="366">
        <v>12.21</v>
      </c>
      <c r="N84" s="211">
        <v>0</v>
      </c>
      <c r="O84" s="211">
        <v>0</v>
      </c>
      <c r="P84" s="210">
        <v>0</v>
      </c>
    </row>
    <row r="85" spans="4:16" x14ac:dyDescent="0.35">
      <c r="F85" t="s">
        <v>829</v>
      </c>
      <c r="H85" t="s">
        <v>448</v>
      </c>
      <c r="J85" s="212">
        <v>4.2370000000000001</v>
      </c>
      <c r="K85" s="212">
        <v>0.53800000000000003</v>
      </c>
      <c r="L85" s="212">
        <v>2.5999999999999999E-2</v>
      </c>
      <c r="M85" s="367">
        <v>0</v>
      </c>
      <c r="N85" s="213">
        <v>0</v>
      </c>
      <c r="O85" s="213">
        <v>0</v>
      </c>
      <c r="P85" s="212">
        <v>0</v>
      </c>
    </row>
    <row r="86" spans="4:16" x14ac:dyDescent="0.35">
      <c r="F86" t="s">
        <v>909</v>
      </c>
      <c r="H86" t="s">
        <v>448</v>
      </c>
      <c r="J86" s="212">
        <v>3.9630000000000001</v>
      </c>
      <c r="K86" s="212">
        <v>0.504</v>
      </c>
      <c r="L86" s="212">
        <v>2.4E-2</v>
      </c>
      <c r="M86" s="367">
        <v>4.88</v>
      </c>
      <c r="N86" s="213">
        <v>0</v>
      </c>
      <c r="O86" s="213">
        <v>0</v>
      </c>
      <c r="P86" s="212">
        <v>0</v>
      </c>
    </row>
    <row r="87" spans="4:16" x14ac:dyDescent="0.35">
      <c r="F87" t="s">
        <v>910</v>
      </c>
      <c r="H87" t="s">
        <v>448</v>
      </c>
      <c r="J87" s="212">
        <v>3.9630000000000001</v>
      </c>
      <c r="K87" s="212">
        <v>0.504</v>
      </c>
      <c r="L87" s="212">
        <v>2.4E-2</v>
      </c>
      <c r="M87" s="367">
        <v>13.14</v>
      </c>
      <c r="N87" s="213">
        <v>0</v>
      </c>
      <c r="O87" s="213">
        <v>0</v>
      </c>
      <c r="P87" s="212">
        <v>0</v>
      </c>
    </row>
    <row r="88" spans="4:16" x14ac:dyDescent="0.35">
      <c r="F88" t="s">
        <v>911</v>
      </c>
      <c r="H88" t="s">
        <v>448</v>
      </c>
      <c r="J88" s="212">
        <v>3.9630000000000001</v>
      </c>
      <c r="K88" s="212">
        <v>0.504</v>
      </c>
      <c r="L88" s="212">
        <v>2.4E-2</v>
      </c>
      <c r="M88" s="367">
        <v>27.49</v>
      </c>
      <c r="N88" s="213">
        <v>0</v>
      </c>
      <c r="O88" s="213">
        <v>0</v>
      </c>
      <c r="P88" s="212">
        <v>0</v>
      </c>
    </row>
    <row r="89" spans="4:16" x14ac:dyDescent="0.35">
      <c r="F89" t="s">
        <v>912</v>
      </c>
      <c r="H89" t="s">
        <v>448</v>
      </c>
      <c r="J89" s="212">
        <v>3.9630000000000001</v>
      </c>
      <c r="K89" s="212">
        <v>0.504</v>
      </c>
      <c r="L89" s="212">
        <v>2.4E-2</v>
      </c>
      <c r="M89" s="367">
        <v>54.94</v>
      </c>
      <c r="N89" s="213">
        <v>0</v>
      </c>
      <c r="O89" s="213">
        <v>0</v>
      </c>
      <c r="P89" s="212">
        <v>0</v>
      </c>
    </row>
    <row r="90" spans="4:16" x14ac:dyDescent="0.35">
      <c r="F90" t="s">
        <v>913</v>
      </c>
      <c r="H90" t="s">
        <v>448</v>
      </c>
      <c r="J90" s="212">
        <v>3.9630000000000001</v>
      </c>
      <c r="K90" s="212">
        <v>0.504</v>
      </c>
      <c r="L90" s="212">
        <v>2.4E-2</v>
      </c>
      <c r="M90" s="367">
        <v>145.66</v>
      </c>
      <c r="N90" s="213">
        <v>0</v>
      </c>
      <c r="O90" s="213">
        <v>0</v>
      </c>
      <c r="P90" s="212">
        <v>0</v>
      </c>
    </row>
    <row r="91" spans="4:16" x14ac:dyDescent="0.35">
      <c r="F91" t="s">
        <v>830</v>
      </c>
      <c r="H91" t="s">
        <v>448</v>
      </c>
      <c r="J91" s="212">
        <v>3.9630000000000001</v>
      </c>
      <c r="K91" s="212">
        <v>0.504</v>
      </c>
      <c r="L91" s="212">
        <v>2.4E-2</v>
      </c>
      <c r="M91" s="367">
        <v>0</v>
      </c>
      <c r="N91" s="213">
        <v>0</v>
      </c>
      <c r="O91" s="213">
        <v>0</v>
      </c>
      <c r="P91" s="212">
        <v>0</v>
      </c>
    </row>
    <row r="92" spans="4:16" x14ac:dyDescent="0.35">
      <c r="F92" t="s">
        <v>914</v>
      </c>
      <c r="H92" t="s">
        <v>448</v>
      </c>
      <c r="J92" s="212">
        <v>3.0960000000000001</v>
      </c>
      <c r="K92" s="212">
        <v>0.33900000000000002</v>
      </c>
      <c r="L92" s="212">
        <v>1.6E-2</v>
      </c>
      <c r="M92" s="367">
        <v>10.9</v>
      </c>
      <c r="N92" s="213">
        <v>1.87</v>
      </c>
      <c r="O92" s="213">
        <v>3.26</v>
      </c>
      <c r="P92" s="212">
        <v>0.111</v>
      </c>
    </row>
    <row r="93" spans="4:16" x14ac:dyDescent="0.35">
      <c r="F93" t="s">
        <v>915</v>
      </c>
      <c r="H93" t="s">
        <v>448</v>
      </c>
      <c r="J93" s="212">
        <v>3.0960000000000001</v>
      </c>
      <c r="K93" s="212">
        <v>0.33900000000000002</v>
      </c>
      <c r="L93" s="212">
        <v>1.6E-2</v>
      </c>
      <c r="M93" s="367">
        <v>262.83999999999997</v>
      </c>
      <c r="N93" s="213">
        <v>1.87</v>
      </c>
      <c r="O93" s="213">
        <v>3.26</v>
      </c>
      <c r="P93" s="212">
        <v>0.111</v>
      </c>
    </row>
    <row r="94" spans="4:16" x14ac:dyDescent="0.35">
      <c r="F94" t="s">
        <v>916</v>
      </c>
      <c r="H94" t="s">
        <v>448</v>
      </c>
      <c r="J94" s="212">
        <v>3.0960000000000001</v>
      </c>
      <c r="K94" s="212">
        <v>0.33900000000000002</v>
      </c>
      <c r="L94" s="212">
        <v>1.6E-2</v>
      </c>
      <c r="M94" s="367">
        <v>433.61</v>
      </c>
      <c r="N94" s="213">
        <v>1.87</v>
      </c>
      <c r="O94" s="213">
        <v>3.26</v>
      </c>
      <c r="P94" s="212">
        <v>0.111</v>
      </c>
    </row>
    <row r="95" spans="4:16" x14ac:dyDescent="0.35">
      <c r="F95" t="s">
        <v>917</v>
      </c>
      <c r="H95" t="s">
        <v>448</v>
      </c>
      <c r="J95" s="212">
        <v>3.0960000000000001</v>
      </c>
      <c r="K95" s="212">
        <v>0.33900000000000002</v>
      </c>
      <c r="L95" s="212">
        <v>1.6E-2</v>
      </c>
      <c r="M95" s="367">
        <v>725.47</v>
      </c>
      <c r="N95" s="213">
        <v>1.87</v>
      </c>
      <c r="O95" s="213">
        <v>3.26</v>
      </c>
      <c r="P95" s="212">
        <v>0.111</v>
      </c>
    </row>
    <row r="96" spans="4:16" x14ac:dyDescent="0.35">
      <c r="F96" t="s">
        <v>918</v>
      </c>
      <c r="H96" t="s">
        <v>448</v>
      </c>
      <c r="J96" s="212">
        <v>3.0960000000000001</v>
      </c>
      <c r="K96" s="212">
        <v>0.33900000000000002</v>
      </c>
      <c r="L96" s="212">
        <v>1.6E-2</v>
      </c>
      <c r="M96" s="367">
        <v>1819.71</v>
      </c>
      <c r="N96" s="213">
        <v>1.87</v>
      </c>
      <c r="O96" s="213">
        <v>3.26</v>
      </c>
      <c r="P96" s="212">
        <v>0.111</v>
      </c>
    </row>
    <row r="97" spans="6:16" x14ac:dyDescent="0.35">
      <c r="F97" t="s">
        <v>919</v>
      </c>
      <c r="H97" t="s">
        <v>448</v>
      </c>
      <c r="J97" s="212">
        <v>3.3660000000000001</v>
      </c>
      <c r="K97" s="212">
        <v>0.252</v>
      </c>
      <c r="L97" s="212">
        <v>1.0999999999999999E-2</v>
      </c>
      <c r="M97" s="367">
        <v>43.85</v>
      </c>
      <c r="N97" s="213">
        <v>4.08</v>
      </c>
      <c r="O97" s="213">
        <v>5.23</v>
      </c>
      <c r="P97" s="212">
        <v>0.10100000000000001</v>
      </c>
    </row>
    <row r="98" spans="6:16" x14ac:dyDescent="0.35">
      <c r="F98" t="s">
        <v>920</v>
      </c>
      <c r="H98" t="s">
        <v>448</v>
      </c>
      <c r="J98" s="212">
        <v>3.3660000000000001</v>
      </c>
      <c r="K98" s="212">
        <v>0.252</v>
      </c>
      <c r="L98" s="212">
        <v>1.0999999999999999E-2</v>
      </c>
      <c r="M98" s="367">
        <v>454.13</v>
      </c>
      <c r="N98" s="213">
        <v>4.08</v>
      </c>
      <c r="O98" s="213">
        <v>5.23</v>
      </c>
      <c r="P98" s="212">
        <v>0.10100000000000001</v>
      </c>
    </row>
    <row r="99" spans="6:16" x14ac:dyDescent="0.35">
      <c r="F99" t="s">
        <v>921</v>
      </c>
      <c r="H99" t="s">
        <v>448</v>
      </c>
      <c r="J99" s="330">
        <v>3.3660000000000001</v>
      </c>
      <c r="K99" s="330">
        <v>0.252</v>
      </c>
      <c r="L99" s="330">
        <v>1.0999999999999999E-2</v>
      </c>
      <c r="M99" s="368">
        <v>732.23</v>
      </c>
      <c r="N99" s="331">
        <v>4.08</v>
      </c>
      <c r="O99" s="331">
        <v>5.23</v>
      </c>
      <c r="P99" s="330">
        <v>0.10100000000000001</v>
      </c>
    </row>
    <row r="100" spans="6:16" x14ac:dyDescent="0.35">
      <c r="F100" t="s">
        <v>922</v>
      </c>
      <c r="H100" t="s">
        <v>448</v>
      </c>
      <c r="J100" s="330">
        <v>3.3660000000000001</v>
      </c>
      <c r="K100" s="330">
        <v>0.252</v>
      </c>
      <c r="L100" s="330">
        <v>1.0999999999999999E-2</v>
      </c>
      <c r="M100" s="368">
        <v>1207.51</v>
      </c>
      <c r="N100" s="331">
        <v>4.08</v>
      </c>
      <c r="O100" s="331">
        <v>5.23</v>
      </c>
      <c r="P100" s="330">
        <v>0.10100000000000001</v>
      </c>
    </row>
    <row r="101" spans="6:16" x14ac:dyDescent="0.35">
      <c r="F101" t="s">
        <v>923</v>
      </c>
      <c r="H101" t="s">
        <v>448</v>
      </c>
      <c r="J101" s="330">
        <v>3.3660000000000001</v>
      </c>
      <c r="K101" s="330">
        <v>0.252</v>
      </c>
      <c r="L101" s="330">
        <v>1.0999999999999999E-2</v>
      </c>
      <c r="M101" s="368">
        <v>2989.46</v>
      </c>
      <c r="N101" s="331">
        <v>4.08</v>
      </c>
      <c r="O101" s="331">
        <v>5.23</v>
      </c>
      <c r="P101" s="330">
        <v>0.10100000000000001</v>
      </c>
    </row>
    <row r="102" spans="6:16" x14ac:dyDescent="0.35">
      <c r="F102" t="s">
        <v>924</v>
      </c>
      <c r="H102" t="s">
        <v>448</v>
      </c>
      <c r="J102" s="330">
        <v>3.0640000000000001</v>
      </c>
      <c r="K102" s="330">
        <v>0.20300000000000001</v>
      </c>
      <c r="L102" s="330">
        <v>8.9999999999999993E-3</v>
      </c>
      <c r="M102" s="368">
        <v>177.99</v>
      </c>
      <c r="N102" s="331">
        <v>5.51</v>
      </c>
      <c r="O102" s="331">
        <v>6.57</v>
      </c>
      <c r="P102" s="330">
        <v>8.7999999999999995E-2</v>
      </c>
    </row>
    <row r="103" spans="6:16" x14ac:dyDescent="0.35">
      <c r="F103" t="s">
        <v>925</v>
      </c>
      <c r="H103" t="s">
        <v>448</v>
      </c>
      <c r="J103" s="330">
        <v>3.0640000000000001</v>
      </c>
      <c r="K103" s="330">
        <v>0.20300000000000001</v>
      </c>
      <c r="L103" s="330">
        <v>8.9999999999999993E-3</v>
      </c>
      <c r="M103" s="368">
        <v>2834.65</v>
      </c>
      <c r="N103" s="331">
        <v>5.51</v>
      </c>
      <c r="O103" s="331">
        <v>6.57</v>
      </c>
      <c r="P103" s="330">
        <v>8.7999999999999995E-2</v>
      </c>
    </row>
    <row r="104" spans="6:16" x14ac:dyDescent="0.35">
      <c r="F104" t="s">
        <v>926</v>
      </c>
      <c r="H104" t="s">
        <v>448</v>
      </c>
      <c r="J104" s="330">
        <v>3.0640000000000001</v>
      </c>
      <c r="K104" s="330">
        <v>0.20300000000000001</v>
      </c>
      <c r="L104" s="330">
        <v>8.9999999999999993E-3</v>
      </c>
      <c r="M104" s="368">
        <v>7061.84</v>
      </c>
      <c r="N104" s="331">
        <v>5.51</v>
      </c>
      <c r="O104" s="331">
        <v>6.57</v>
      </c>
      <c r="P104" s="330">
        <v>8.7999999999999995E-2</v>
      </c>
    </row>
    <row r="105" spans="6:16" x14ac:dyDescent="0.35">
      <c r="F105" t="s">
        <v>927</v>
      </c>
      <c r="H105" t="s">
        <v>448</v>
      </c>
      <c r="J105" s="330">
        <v>3.0640000000000001</v>
      </c>
      <c r="K105" s="330">
        <v>0.20300000000000001</v>
      </c>
      <c r="L105" s="330">
        <v>8.9999999999999993E-3</v>
      </c>
      <c r="M105" s="368">
        <v>13662.3</v>
      </c>
      <c r="N105" s="331">
        <v>5.51</v>
      </c>
      <c r="O105" s="331">
        <v>6.57</v>
      </c>
      <c r="P105" s="330">
        <v>8.7999999999999995E-2</v>
      </c>
    </row>
    <row r="106" spans="6:16" x14ac:dyDescent="0.35">
      <c r="F106" t="s">
        <v>928</v>
      </c>
      <c r="H106" t="s">
        <v>448</v>
      </c>
      <c r="J106" s="330">
        <v>3.0640000000000001</v>
      </c>
      <c r="K106" s="330">
        <v>0.20300000000000001</v>
      </c>
      <c r="L106" s="330">
        <v>8.9999999999999993E-3</v>
      </c>
      <c r="M106" s="368">
        <v>34873</v>
      </c>
      <c r="N106" s="331">
        <v>5.51</v>
      </c>
      <c r="O106" s="331">
        <v>6.57</v>
      </c>
      <c r="P106" s="330">
        <v>8.7999999999999995E-2</v>
      </c>
    </row>
    <row r="107" spans="6:16" x14ac:dyDescent="0.35">
      <c r="F107" t="s">
        <v>839</v>
      </c>
      <c r="H107" t="s">
        <v>448</v>
      </c>
      <c r="J107" s="330">
        <v>12.452</v>
      </c>
      <c r="K107" s="330">
        <v>2.8239999999999998</v>
      </c>
      <c r="L107" s="330">
        <v>2.3460000000000001</v>
      </c>
      <c r="M107" s="368">
        <v>0</v>
      </c>
      <c r="N107" s="331">
        <v>0</v>
      </c>
      <c r="O107" s="331">
        <v>0</v>
      </c>
      <c r="P107" s="330">
        <v>0</v>
      </c>
    </row>
    <row r="108" spans="6:16" x14ac:dyDescent="0.35">
      <c r="F108" t="s">
        <v>831</v>
      </c>
      <c r="H108" t="s">
        <v>448</v>
      </c>
      <c r="J108" s="330">
        <v>-6.4669999999999996</v>
      </c>
      <c r="K108" s="330">
        <v>-0.82199999999999995</v>
      </c>
      <c r="L108" s="330">
        <v>-0.04</v>
      </c>
      <c r="M108" s="368">
        <v>0</v>
      </c>
      <c r="N108" s="331">
        <v>0</v>
      </c>
      <c r="O108" s="331">
        <v>0</v>
      </c>
      <c r="P108" s="330">
        <v>0</v>
      </c>
    </row>
    <row r="109" spans="6:16" x14ac:dyDescent="0.35">
      <c r="F109" t="s">
        <v>832</v>
      </c>
      <c r="H109" t="s">
        <v>448</v>
      </c>
      <c r="J109" s="330">
        <v>-5.7430000000000003</v>
      </c>
      <c r="K109" s="330">
        <v>-0.66700000000000004</v>
      </c>
      <c r="L109" s="330">
        <v>-3.2000000000000001E-2</v>
      </c>
      <c r="M109" s="368">
        <v>0</v>
      </c>
      <c r="N109" s="331">
        <v>0</v>
      </c>
      <c r="O109" s="331">
        <v>0</v>
      </c>
      <c r="P109" s="330">
        <v>0</v>
      </c>
    </row>
    <row r="110" spans="6:16" x14ac:dyDescent="0.35">
      <c r="F110" t="s">
        <v>833</v>
      </c>
      <c r="H110" t="s">
        <v>448</v>
      </c>
      <c r="J110" s="330">
        <v>-6.4669999999999996</v>
      </c>
      <c r="K110" s="330">
        <v>-0.82199999999999995</v>
      </c>
      <c r="L110" s="330">
        <v>-0.04</v>
      </c>
      <c r="M110" s="368">
        <v>0</v>
      </c>
      <c r="N110" s="331">
        <v>0</v>
      </c>
      <c r="O110" s="331">
        <v>0</v>
      </c>
      <c r="P110" s="330">
        <v>0.254</v>
      </c>
    </row>
    <row r="111" spans="6:16" x14ac:dyDescent="0.35">
      <c r="F111" t="s">
        <v>842</v>
      </c>
      <c r="H111" t="s">
        <v>448</v>
      </c>
      <c r="J111" s="332">
        <v>0</v>
      </c>
      <c r="K111" s="332">
        <v>0</v>
      </c>
      <c r="L111" s="332">
        <v>0</v>
      </c>
      <c r="M111" s="380">
        <v>0</v>
      </c>
      <c r="N111" s="334">
        <v>0</v>
      </c>
      <c r="O111" s="334">
        <v>0</v>
      </c>
      <c r="P111" s="332">
        <v>0</v>
      </c>
    </row>
    <row r="112" spans="6:16" x14ac:dyDescent="0.35">
      <c r="F112" t="s">
        <v>834</v>
      </c>
      <c r="H112" t="s">
        <v>448</v>
      </c>
      <c r="J112" s="330">
        <v>-5.7430000000000003</v>
      </c>
      <c r="K112" s="330">
        <v>-0.66700000000000004</v>
      </c>
      <c r="L112" s="330">
        <v>-3.2000000000000001E-2</v>
      </c>
      <c r="M112" s="368">
        <v>0</v>
      </c>
      <c r="N112" s="331">
        <v>0</v>
      </c>
      <c r="O112" s="331">
        <v>0</v>
      </c>
      <c r="P112" s="330">
        <v>0.21</v>
      </c>
    </row>
    <row r="113" spans="2:19" x14ac:dyDescent="0.35">
      <c r="F113" t="s">
        <v>841</v>
      </c>
      <c r="H113" t="s">
        <v>448</v>
      </c>
      <c r="J113" s="332">
        <v>0</v>
      </c>
      <c r="K113" s="332">
        <v>0</v>
      </c>
      <c r="L113" s="332">
        <v>0</v>
      </c>
      <c r="M113" s="380">
        <v>0</v>
      </c>
      <c r="N113" s="334">
        <v>0</v>
      </c>
      <c r="O113" s="334">
        <v>0</v>
      </c>
      <c r="P113" s="332">
        <v>0</v>
      </c>
    </row>
    <row r="114" spans="2:19" x14ac:dyDescent="0.35">
      <c r="F114" t="s">
        <v>835</v>
      </c>
      <c r="H114" t="s">
        <v>448</v>
      </c>
      <c r="J114" s="330">
        <v>-4.4080000000000004</v>
      </c>
      <c r="K114" s="330">
        <v>-0.32900000000000001</v>
      </c>
      <c r="L114" s="330">
        <v>-1.4999999999999999E-2</v>
      </c>
      <c r="M114" s="368">
        <v>0</v>
      </c>
      <c r="N114" s="331">
        <v>0</v>
      </c>
      <c r="O114" s="331">
        <v>0</v>
      </c>
      <c r="P114" s="330">
        <v>0.182</v>
      </c>
    </row>
    <row r="115" spans="2:19" x14ac:dyDescent="0.35">
      <c r="F115" s="28" t="s">
        <v>840</v>
      </c>
      <c r="G115" s="28"/>
      <c r="H115" s="28" t="s">
        <v>448</v>
      </c>
      <c r="I115" s="28"/>
      <c r="J115" s="218">
        <v>0</v>
      </c>
      <c r="K115" s="218">
        <v>0</v>
      </c>
      <c r="L115" s="218">
        <v>0</v>
      </c>
      <c r="M115" s="381">
        <v>0</v>
      </c>
      <c r="N115" s="335">
        <v>0</v>
      </c>
      <c r="O115" s="335">
        <v>0</v>
      </c>
      <c r="P115" s="218">
        <v>0</v>
      </c>
    </row>
    <row r="116" spans="2:19" x14ac:dyDescent="0.35">
      <c r="D116" s="27"/>
      <c r="E116" s="27"/>
      <c r="F116" s="27"/>
      <c r="G116" s="27"/>
      <c r="H116" s="27"/>
      <c r="I116" s="27"/>
      <c r="J116" s="27"/>
      <c r="K116" s="27"/>
      <c r="L116" s="27"/>
      <c r="M116" s="220"/>
      <c r="N116" s="220"/>
      <c r="O116" s="220"/>
      <c r="P116" s="27"/>
      <c r="Q116" s="27"/>
      <c r="R116" s="27"/>
      <c r="S116" s="27"/>
    </row>
    <row r="117" spans="2:19" x14ac:dyDescent="0.35">
      <c r="B117" s="25" t="s">
        <v>231</v>
      </c>
      <c r="C117" s="25"/>
      <c r="D117" s="25"/>
      <c r="E117" s="25"/>
      <c r="F117" s="25"/>
      <c r="G117" s="25"/>
      <c r="H117" s="25"/>
      <c r="I117" s="25"/>
      <c r="J117" s="25"/>
      <c r="K117" s="25"/>
      <c r="L117" s="94"/>
      <c r="M117" s="221"/>
      <c r="N117" s="221"/>
      <c r="O117" s="221"/>
      <c r="P117" s="94"/>
      <c r="Q117" s="94"/>
      <c r="R117" s="94"/>
    </row>
    <row r="118" spans="2:19" x14ac:dyDescent="0.35">
      <c r="M118" s="219"/>
      <c r="N118" s="219"/>
      <c r="O118" s="219"/>
    </row>
    <row r="119" spans="2:19" x14ac:dyDescent="0.35">
      <c r="D119"/>
      <c r="E119" t="s">
        <v>232</v>
      </c>
      <c r="G119" s="6" t="s">
        <v>55</v>
      </c>
      <c r="H119" s="93">
        <f t="array" ref="H119">SUM(IF(ISERROR(J16:P99), 1))</f>
        <v>0</v>
      </c>
      <c r="M119" s="219"/>
      <c r="N119" s="219"/>
      <c r="O119" s="219"/>
    </row>
    <row r="120" spans="2:19" x14ac:dyDescent="0.35">
      <c r="M120" s="219"/>
      <c r="N120" s="219"/>
      <c r="O120" s="219"/>
    </row>
    <row r="121" spans="2:19" x14ac:dyDescent="0.35">
      <c r="B121" s="25" t="s">
        <v>106</v>
      </c>
      <c r="C121" s="25"/>
      <c r="D121" s="25"/>
      <c r="E121" s="25"/>
      <c r="F121" s="25"/>
      <c r="G121" s="25"/>
      <c r="H121" s="25"/>
      <c r="I121" s="25"/>
      <c r="J121" s="25"/>
      <c r="K121" s="25"/>
      <c r="L121" s="94"/>
      <c r="M121" s="221"/>
      <c r="N121" s="221"/>
      <c r="O121" s="221"/>
      <c r="P121" s="94"/>
      <c r="Q121" s="94"/>
      <c r="R121" s="94"/>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xr:uid="{00000000-0004-0000-1A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tabColor theme="9" tint="0.39997558519241921"/>
    <pageSetUpPr fitToPage="1"/>
  </sheetPr>
  <dimension ref="A1:KN8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3" width="2.54296875" customWidth="1"/>
    <col min="4" max="5" width="2.54296875" style="2" customWidth="1"/>
    <col min="6" max="6" width="59.54296875" customWidth="1"/>
    <col min="7" max="8" width="20.54296875" customWidth="1"/>
    <col min="9" max="9" width="2.453125" customWidth="1"/>
    <col min="10" max="38" width="17" customWidth="1"/>
    <col min="39" max="39" width="2.453125" customWidth="1"/>
    <col min="40" max="40" width="50.54296875" customWidth="1"/>
    <col min="41" max="41" width="2.453125" customWidth="1"/>
    <col min="42" max="44" width="17" hidden="1" customWidth="1"/>
    <col min="45" max="45" width="2.453125" hidden="1" customWidth="1"/>
    <col min="46" max="46" width="18.453125" hidden="1" customWidth="1"/>
    <col min="47" max="47" width="4.453125" hidden="1" customWidth="1"/>
    <col min="48" max="300" width="24.54296875" hidden="1" customWidth="1"/>
    <col min="301" max="16384" width="8.54296875" hidden="1"/>
  </cols>
  <sheetData>
    <row r="1" spans="1:40" s="1" customFormat="1" x14ac:dyDescent="0.35">
      <c r="A1" s="1" t="str">
        <f ca="1">MID(CELL("filename",A1),FIND("]",CELL("filename",A1))+1,255)</f>
        <v>Output to other models</v>
      </c>
    </row>
    <row r="2" spans="1:40" s="1" customFormat="1" x14ac:dyDescent="0.35">
      <c r="A2" s="1" t="str">
        <f>Cover!D21&amp;" - "&amp;Cover!D23</f>
        <v>Southern Electric Power Distribution - Final</v>
      </c>
    </row>
    <row r="3" spans="1:40" s="5" customFormat="1" x14ac:dyDescent="0.35">
      <c r="A3" s="5" t="str">
        <f>Cover!D2&amp;" - "&amp;Cover!D8&amp;" v"&amp;Cover!D10&amp;" - "&amp;Cover!D19</f>
        <v>CDCM charging model - Release for charge setting v9 - 2024/25</v>
      </c>
    </row>
    <row r="4" spans="1:40" x14ac:dyDescent="0.35">
      <c r="A4" s="11" t="str">
        <f>H84 &amp; IF(H84 = 1, " issue", " issues") &amp;" identified in checks on this sheet"</f>
        <v>0 issues identified in checks on this sheet</v>
      </c>
      <c r="B4" s="12"/>
      <c r="C4" s="12"/>
      <c r="D4" s="12"/>
      <c r="E4" s="12"/>
      <c r="F4" s="12"/>
      <c r="G4" s="12"/>
      <c r="H4" s="13"/>
      <c r="I4" s="13"/>
      <c r="J4" s="12"/>
    </row>
    <row r="5" spans="1:40" x14ac:dyDescent="0.35">
      <c r="B5" s="49" t="s">
        <v>142</v>
      </c>
      <c r="C5" s="50"/>
      <c r="D5" s="50"/>
      <c r="E5" s="50"/>
      <c r="F5" s="50"/>
      <c r="G5" s="51" t="s">
        <v>143</v>
      </c>
      <c r="H5" s="83" t="s">
        <v>144</v>
      </c>
      <c r="AN5" s="51" t="s">
        <v>145</v>
      </c>
    </row>
    <row r="7" spans="1:40" x14ac:dyDescent="0.35">
      <c r="B7" s="25" t="s">
        <v>10</v>
      </c>
      <c r="C7" s="25"/>
      <c r="D7" s="25"/>
      <c r="E7" s="25"/>
      <c r="F7" s="25"/>
      <c r="G7" s="25"/>
      <c r="H7" s="25"/>
      <c r="I7" s="25"/>
      <c r="J7" s="25"/>
      <c r="K7" s="2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row>
    <row r="9" spans="1:40" x14ac:dyDescent="0.35">
      <c r="C9" s="24" t="s">
        <v>807</v>
      </c>
      <c r="E9"/>
    </row>
    <row r="10" spans="1:40" x14ac:dyDescent="0.35">
      <c r="C10" s="24" t="s">
        <v>808</v>
      </c>
      <c r="E10"/>
    </row>
    <row r="12" spans="1:40" x14ac:dyDescent="0.35">
      <c r="B12" s="25" t="s">
        <v>809</v>
      </c>
      <c r="C12" s="25"/>
      <c r="D12" s="25"/>
      <c r="E12" s="25"/>
      <c r="F12" s="25"/>
      <c r="G12" s="25"/>
      <c r="H12" s="25"/>
      <c r="I12" s="25"/>
      <c r="J12" s="25"/>
      <c r="K12" s="2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row>
    <row r="14" spans="1:40" x14ac:dyDescent="0.35">
      <c r="B14" s="24"/>
      <c r="C14" s="26" t="str">
        <f ca="1">INDEX('Version control'!$H$38:$H$61,MATCH($A$1,'Version control'!$F$38:$F$61,0),1)&amp;"-A: CDCM notional EHV asset values"</f>
        <v>Output 102-A: CDCM notional EHV asset values</v>
      </c>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row>
    <row r="16" spans="1:40" x14ac:dyDescent="0.35">
      <c r="D16" s="24" t="s">
        <v>810</v>
      </c>
      <c r="E16"/>
    </row>
    <row r="17" spans="2:40" x14ac:dyDescent="0.35">
      <c r="D17" s="24"/>
      <c r="E17"/>
    </row>
    <row r="18" spans="2:40" x14ac:dyDescent="0.35">
      <c r="E18" s="27" t="s">
        <v>811</v>
      </c>
    </row>
    <row r="19" spans="2:40" x14ac:dyDescent="0.35">
      <c r="F19" s="54" t="s">
        <v>192</v>
      </c>
      <c r="G19" s="19" t="s">
        <v>277</v>
      </c>
      <c r="H19" s="222">
        <f t="array" ref="H19:H23">TRANSPOSE('Unit costs'!L108:P108)</f>
        <v>942489173.62997806</v>
      </c>
    </row>
    <row r="20" spans="2:40" x14ac:dyDescent="0.35">
      <c r="E20"/>
      <c r="F20" s="23" t="s">
        <v>193</v>
      </c>
      <c r="G20" t="s">
        <v>277</v>
      </c>
      <c r="H20" s="223">
        <v>243867060.92481834</v>
      </c>
    </row>
    <row r="21" spans="2:40" x14ac:dyDescent="0.35">
      <c r="E21"/>
      <c r="F21" s="23" t="s">
        <v>194</v>
      </c>
      <c r="G21" t="s">
        <v>277</v>
      </c>
      <c r="H21" s="223">
        <v>700027122.42113173</v>
      </c>
    </row>
    <row r="22" spans="2:40" x14ac:dyDescent="0.35">
      <c r="E22"/>
      <c r="F22" s="23" t="s">
        <v>195</v>
      </c>
      <c r="G22" t="s">
        <v>277</v>
      </c>
      <c r="H22" s="223">
        <v>602585139.72818041</v>
      </c>
    </row>
    <row r="23" spans="2:40" x14ac:dyDescent="0.35">
      <c r="E23"/>
      <c r="F23" s="57" t="s">
        <v>196</v>
      </c>
      <c r="G23" s="28" t="s">
        <v>277</v>
      </c>
      <c r="H23" s="224">
        <v>0</v>
      </c>
    </row>
    <row r="25" spans="2:40" x14ac:dyDescent="0.35">
      <c r="C25" s="26" t="str">
        <f ca="1">INDEX('Version control'!$H$38:$H$61,MATCH($A$1,'Version control'!$F$38:$F$61,0),1)&amp;"-B: CDCM smart meter communication licence costs"</f>
        <v>Output 102-B: CDCM smart meter communication licence costs</v>
      </c>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row>
    <row r="27" spans="2:40" x14ac:dyDescent="0.35">
      <c r="D27" s="24" t="s">
        <v>1163</v>
      </c>
      <c r="E27"/>
    </row>
    <row r="28" spans="2:40" x14ac:dyDescent="0.35">
      <c r="D28" s="24"/>
      <c r="E28"/>
    </row>
    <row r="29" spans="2:40" x14ac:dyDescent="0.35">
      <c r="D29" s="24"/>
      <c r="E29" t="s">
        <v>320</v>
      </c>
      <c r="G29" t="str">
        <f>'General inputs'!G50</f>
        <v>£</v>
      </c>
      <c r="H29" s="359">
        <f>'General inputs'!H50</f>
        <v>8205460.0480434187</v>
      </c>
    </row>
    <row r="30" spans="2:40" x14ac:dyDescent="0.35">
      <c r="D30" s="24"/>
      <c r="E30"/>
    </row>
    <row r="31" spans="2:40" x14ac:dyDescent="0.35">
      <c r="B31" s="25" t="s">
        <v>812</v>
      </c>
      <c r="C31" s="25"/>
      <c r="D31" s="25"/>
      <c r="E31" s="25"/>
      <c r="F31" s="25"/>
      <c r="G31" s="25"/>
      <c r="H31" s="25"/>
      <c r="I31" s="25"/>
      <c r="J31" s="25"/>
      <c r="K31" s="2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row>
    <row r="33" spans="3:40" x14ac:dyDescent="0.35">
      <c r="C33" s="26" t="str">
        <f ca="1">INDEX('Version control'!$H$38:$H$61,MATCH($A$1,'Version control'!$F$38:$F$61,0),1)&amp;"-C: CDCM end user tariff forecast"</f>
        <v>Output 102-C: CDCM end user tariff forecast</v>
      </c>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row>
    <row r="35" spans="3:40" x14ac:dyDescent="0.35">
      <c r="D35" s="24" t="s">
        <v>897</v>
      </c>
      <c r="E35"/>
    </row>
    <row r="37" spans="3:40" ht="43.5" x14ac:dyDescent="0.35">
      <c r="C37" s="225"/>
      <c r="E37" s="27" t="s">
        <v>813</v>
      </c>
      <c r="J37" s="226" t="s">
        <v>908</v>
      </c>
      <c r="K37" s="226" t="s">
        <v>829</v>
      </c>
      <c r="L37" s="226" t="s">
        <v>909</v>
      </c>
      <c r="M37" s="226" t="s">
        <v>910</v>
      </c>
      <c r="N37" s="226" t="s">
        <v>911</v>
      </c>
      <c r="O37" s="226" t="s">
        <v>912</v>
      </c>
      <c r="P37" s="226" t="s">
        <v>913</v>
      </c>
      <c r="Q37" s="226" t="s">
        <v>830</v>
      </c>
      <c r="R37" s="226" t="s">
        <v>914</v>
      </c>
      <c r="S37" s="226" t="s">
        <v>915</v>
      </c>
      <c r="T37" s="226" t="s">
        <v>916</v>
      </c>
      <c r="U37" s="226" t="s">
        <v>917</v>
      </c>
      <c r="V37" s="226" t="s">
        <v>918</v>
      </c>
      <c r="W37" s="226" t="s">
        <v>919</v>
      </c>
      <c r="X37" s="226" t="s">
        <v>920</v>
      </c>
      <c r="Y37" s="226" t="s">
        <v>921</v>
      </c>
      <c r="Z37" s="226" t="s">
        <v>922</v>
      </c>
      <c r="AA37" s="226" t="s">
        <v>923</v>
      </c>
      <c r="AB37" s="226" t="s">
        <v>924</v>
      </c>
      <c r="AC37" s="226" t="s">
        <v>925</v>
      </c>
      <c r="AD37" s="226" t="s">
        <v>926</v>
      </c>
      <c r="AE37" s="226" t="s">
        <v>927</v>
      </c>
      <c r="AF37" s="226" t="s">
        <v>928</v>
      </c>
      <c r="AG37" s="226" t="s">
        <v>839</v>
      </c>
      <c r="AH37" s="226" t="s">
        <v>831</v>
      </c>
      <c r="AI37" s="226" t="s">
        <v>832</v>
      </c>
      <c r="AJ37" s="226" t="s">
        <v>833</v>
      </c>
      <c r="AK37" s="226" t="s">
        <v>834</v>
      </c>
      <c r="AL37" s="226" t="s">
        <v>835</v>
      </c>
    </row>
    <row r="38" spans="3:40" x14ac:dyDescent="0.35">
      <c r="C38" s="225"/>
      <c r="D38"/>
      <c r="F38" s="227" t="s">
        <v>156</v>
      </c>
      <c r="G38" s="227" t="s">
        <v>269</v>
      </c>
      <c r="H38" s="255" t="s">
        <v>772</v>
      </c>
      <c r="I38" s="255"/>
      <c r="J38" s="274">
        <f>Rounding!J110</f>
        <v>9.3171116944398857</v>
      </c>
      <c r="K38" s="274">
        <f>Rounding!K110</f>
        <v>9.3171116944398857</v>
      </c>
      <c r="L38" s="274">
        <f>Rounding!L110</f>
        <v>8.7153701226779656</v>
      </c>
      <c r="M38" s="274">
        <f>Rounding!M110</f>
        <v>8.7153701226779656</v>
      </c>
      <c r="N38" s="274">
        <f>Rounding!N110</f>
        <v>8.7153701226779656</v>
      </c>
      <c r="O38" s="274">
        <f>Rounding!O110</f>
        <v>8.7153701226779656</v>
      </c>
      <c r="P38" s="274">
        <f>Rounding!P110</f>
        <v>8.7153701226779656</v>
      </c>
      <c r="Q38" s="274">
        <f>Rounding!Q110</f>
        <v>8.7153701226779656</v>
      </c>
      <c r="R38" s="274">
        <f>Rounding!R110</f>
        <v>6.8094647784894793</v>
      </c>
      <c r="S38" s="274">
        <f>Rounding!S110</f>
        <v>6.8094647784894793</v>
      </c>
      <c r="T38" s="274">
        <f>Rounding!T110</f>
        <v>6.8094647784894793</v>
      </c>
      <c r="U38" s="274">
        <f>Rounding!U110</f>
        <v>6.8094647784894793</v>
      </c>
      <c r="V38" s="274">
        <f>Rounding!V110</f>
        <v>6.8094647784894793</v>
      </c>
      <c r="W38" s="274">
        <f>Rounding!W110</f>
        <v>4.5451823626979291</v>
      </c>
      <c r="X38" s="274">
        <f>Rounding!X110</f>
        <v>4.5451823626979291</v>
      </c>
      <c r="Y38" s="274">
        <f>Rounding!Y110</f>
        <v>4.5451823626979291</v>
      </c>
      <c r="Z38" s="274">
        <f>Rounding!Z110</f>
        <v>4.5451823626979291</v>
      </c>
      <c r="AA38" s="274">
        <f>Rounding!AA110</f>
        <v>4.5451823626979291</v>
      </c>
      <c r="AB38" s="274">
        <f>Rounding!AB110</f>
        <v>3.6111056246732378</v>
      </c>
      <c r="AC38" s="274">
        <f>Rounding!AC110</f>
        <v>3.6111056246732378</v>
      </c>
      <c r="AD38" s="274">
        <f>Rounding!AD110</f>
        <v>3.6111056246732378</v>
      </c>
      <c r="AE38" s="274">
        <f>Rounding!AE110</f>
        <v>3.6111056246732378</v>
      </c>
      <c r="AF38" s="274">
        <f>Rounding!AF110</f>
        <v>3.6111056246732378</v>
      </c>
      <c r="AG38" s="274">
        <f>Rounding!AG110</f>
        <v>27.383958089133888</v>
      </c>
      <c r="AH38" s="274">
        <f>Rounding!AH110</f>
        <v>-6.4671088642966206</v>
      </c>
      <c r="AI38" s="274">
        <f>Rounding!AI110</f>
        <v>-5.7431990235840562</v>
      </c>
      <c r="AJ38" s="274">
        <f>Rounding!AJ110</f>
        <v>-6.4671088642966206</v>
      </c>
      <c r="AK38" s="274">
        <f>Rounding!AL110</f>
        <v>-5.7431990235840562</v>
      </c>
      <c r="AL38" s="274">
        <f>Rounding!AN110</f>
        <v>-4.4077410438205549</v>
      </c>
    </row>
    <row r="39" spans="3:40" x14ac:dyDescent="0.35">
      <c r="C39" s="225"/>
      <c r="D39"/>
      <c r="F39" s="228" t="s">
        <v>157</v>
      </c>
      <c r="G39" s="228" t="s">
        <v>269</v>
      </c>
      <c r="H39" s="256" t="s">
        <v>772</v>
      </c>
      <c r="I39" s="256"/>
      <c r="J39" s="358">
        <f>Rounding!J111</f>
        <v>1.1840664639985359</v>
      </c>
      <c r="K39" s="358">
        <f>Rounding!K111</f>
        <v>1.1840664639985359</v>
      </c>
      <c r="L39" s="358">
        <f>Rounding!L111</f>
        <v>1.1075940508211499</v>
      </c>
      <c r="M39" s="358">
        <f>Rounding!M111</f>
        <v>1.1075940508211499</v>
      </c>
      <c r="N39" s="358">
        <f>Rounding!N111</f>
        <v>1.1075940508211499</v>
      </c>
      <c r="O39" s="358">
        <f>Rounding!O111</f>
        <v>1.1075940508211499</v>
      </c>
      <c r="P39" s="358">
        <f>Rounding!P111</f>
        <v>1.1075940508211499</v>
      </c>
      <c r="Q39" s="358">
        <f>Rounding!Q111</f>
        <v>1.1075940508211499</v>
      </c>
      <c r="R39" s="358">
        <f>Rounding!R111</f>
        <v>0.74505952499466721</v>
      </c>
      <c r="S39" s="358">
        <f>Rounding!S111</f>
        <v>0.74505952499466721</v>
      </c>
      <c r="T39" s="358">
        <f>Rounding!T111</f>
        <v>0.74505952499466721</v>
      </c>
      <c r="U39" s="358">
        <f>Rounding!U111</f>
        <v>0.74505952499466721</v>
      </c>
      <c r="V39" s="358">
        <f>Rounding!V111</f>
        <v>0.74505952499466721</v>
      </c>
      <c r="W39" s="358">
        <f>Rounding!W111</f>
        <v>0.34012821867000353</v>
      </c>
      <c r="X39" s="358">
        <f>Rounding!X111</f>
        <v>0.34012821867000353</v>
      </c>
      <c r="Y39" s="358">
        <f>Rounding!Y111</f>
        <v>0.34012821867000353</v>
      </c>
      <c r="Z39" s="358">
        <f>Rounding!Z111</f>
        <v>0.34012821867000353</v>
      </c>
      <c r="AA39" s="358">
        <f>Rounding!AA111</f>
        <v>0.34012821867000353</v>
      </c>
      <c r="AB39" s="358">
        <f>Rounding!AB111</f>
        <v>0.23969521230552152</v>
      </c>
      <c r="AC39" s="358">
        <f>Rounding!AC111</f>
        <v>0.23969521230552152</v>
      </c>
      <c r="AD39" s="358">
        <f>Rounding!AD111</f>
        <v>0.23969521230552152</v>
      </c>
      <c r="AE39" s="358">
        <f>Rounding!AE111</f>
        <v>0.23969521230552152</v>
      </c>
      <c r="AF39" s="358">
        <f>Rounding!AF111</f>
        <v>0.23969521230552152</v>
      </c>
      <c r="AG39" s="358">
        <f>Rounding!AG111</f>
        <v>6.2101308626493772</v>
      </c>
      <c r="AH39" s="358">
        <f>Rounding!AH111</f>
        <v>-0.82187344923759953</v>
      </c>
      <c r="AI39" s="358">
        <f>Rounding!AI111</f>
        <v>-0.66738501200260569</v>
      </c>
      <c r="AJ39" s="358">
        <f>Rounding!AJ111</f>
        <v>-0.82187344923759953</v>
      </c>
      <c r="AK39" s="358">
        <f>Rounding!AL111</f>
        <v>-0.66738501200260569</v>
      </c>
      <c r="AL39" s="358">
        <f>Rounding!AN111</f>
        <v>-0.32883259082754929</v>
      </c>
    </row>
    <row r="40" spans="3:40" x14ac:dyDescent="0.35">
      <c r="C40" s="225"/>
      <c r="D40"/>
      <c r="F40" s="228" t="s">
        <v>158</v>
      </c>
      <c r="G40" s="228" t="s">
        <v>269</v>
      </c>
      <c r="H40" s="256" t="s">
        <v>772</v>
      </c>
      <c r="I40" s="256"/>
      <c r="J40" s="358">
        <f>Rounding!J112</f>
        <v>5.710557616527933E-2</v>
      </c>
      <c r="K40" s="358">
        <f>Rounding!K112</f>
        <v>5.710557616527933E-2</v>
      </c>
      <c r="L40" s="358">
        <f>Rounding!L112</f>
        <v>5.3417437578449689E-2</v>
      </c>
      <c r="M40" s="358">
        <f>Rounding!M112</f>
        <v>5.3417437578449689E-2</v>
      </c>
      <c r="N40" s="358">
        <f>Rounding!N112</f>
        <v>5.3417437578449689E-2</v>
      </c>
      <c r="O40" s="358">
        <f>Rounding!O112</f>
        <v>5.3417437578449689E-2</v>
      </c>
      <c r="P40" s="358">
        <f>Rounding!P112</f>
        <v>5.3417437578449689E-2</v>
      </c>
      <c r="Q40" s="358">
        <f>Rounding!Q112</f>
        <v>5.3417437578449689E-2</v>
      </c>
      <c r="R40" s="358">
        <f>Rounding!R112</f>
        <v>3.5352393244154082E-2</v>
      </c>
      <c r="S40" s="358">
        <f>Rounding!S112</f>
        <v>3.5352393244154082E-2</v>
      </c>
      <c r="T40" s="358">
        <f>Rounding!T112</f>
        <v>3.5352393244154082E-2</v>
      </c>
      <c r="U40" s="358">
        <f>Rounding!U112</f>
        <v>3.5352393244154082E-2</v>
      </c>
      <c r="V40" s="358">
        <f>Rounding!V112</f>
        <v>3.5352393244154082E-2</v>
      </c>
      <c r="W40" s="358">
        <f>Rounding!W112</f>
        <v>1.5257810460316851E-2</v>
      </c>
      <c r="X40" s="358">
        <f>Rounding!X112</f>
        <v>1.5257810460316851E-2</v>
      </c>
      <c r="Y40" s="358">
        <f>Rounding!Y112</f>
        <v>1.5257810460316851E-2</v>
      </c>
      <c r="Z40" s="358">
        <f>Rounding!Z112</f>
        <v>1.5257810460316851E-2</v>
      </c>
      <c r="AA40" s="358">
        <f>Rounding!AA112</f>
        <v>1.5257810460316851E-2</v>
      </c>
      <c r="AB40" s="358">
        <f>Rounding!AB112</f>
        <v>1.0544425190881661E-2</v>
      </c>
      <c r="AC40" s="358">
        <f>Rounding!AC112</f>
        <v>1.0544425190881661E-2</v>
      </c>
      <c r="AD40" s="358">
        <f>Rounding!AD112</f>
        <v>1.0544425190881661E-2</v>
      </c>
      <c r="AE40" s="358">
        <f>Rounding!AE112</f>
        <v>1.0544425190881661E-2</v>
      </c>
      <c r="AF40" s="358">
        <f>Rounding!AF112</f>
        <v>1.0544425190881661E-2</v>
      </c>
      <c r="AG40" s="358">
        <f>Rounding!AG112</f>
        <v>5.1587550553930939</v>
      </c>
      <c r="AH40" s="358">
        <f>Rounding!AH112</f>
        <v>-3.9637603361526004E-2</v>
      </c>
      <c r="AI40" s="358">
        <f>Rounding!AI112</f>
        <v>-3.1885340997794977E-2</v>
      </c>
      <c r="AJ40" s="358">
        <f>Rounding!AJ112</f>
        <v>-3.9637603361526004E-2</v>
      </c>
      <c r="AK40" s="358">
        <f>Rounding!AL112</f>
        <v>-3.1885340997794977E-2</v>
      </c>
      <c r="AL40" s="358">
        <f>Rounding!AN112</f>
        <v>-1.4744214024831974E-2</v>
      </c>
    </row>
    <row r="41" spans="3:40" x14ac:dyDescent="0.35">
      <c r="C41" s="225"/>
      <c r="D41"/>
      <c r="F41" s="228" t="s">
        <v>159</v>
      </c>
      <c r="G41" s="228" t="s">
        <v>270</v>
      </c>
      <c r="H41" t="s">
        <v>772</v>
      </c>
      <c r="J41" s="359">
        <f>Rounding!J113</f>
        <v>25.206971720992335</v>
      </c>
      <c r="K41" s="359">
        <f>Rounding!K113</f>
        <v>0</v>
      </c>
      <c r="L41" s="359">
        <f>Rounding!L113</f>
        <v>9.5772354491088763</v>
      </c>
      <c r="M41" s="359">
        <f>Rounding!M113</f>
        <v>27.739657238641104</v>
      </c>
      <c r="N41" s="359">
        <f>Rounding!N113</f>
        <v>59.293737301484597</v>
      </c>
      <c r="O41" s="359">
        <f>Rounding!O113</f>
        <v>119.67544626051264</v>
      </c>
      <c r="P41" s="359">
        <f>Rounding!P113</f>
        <v>319.19546542872075</v>
      </c>
      <c r="Q41" s="359">
        <f>Rounding!Q113</f>
        <v>0</v>
      </c>
      <c r="R41" s="359">
        <f>Rounding!R113</f>
        <v>22.808539817430944</v>
      </c>
      <c r="S41" s="359">
        <f>Rounding!S113</f>
        <v>576.88504277714264</v>
      </c>
      <c r="T41" s="359">
        <f>Rounding!T113</f>
        <v>952.44549262605585</v>
      </c>
      <c r="U41" s="359">
        <f>Rounding!U113</f>
        <v>1594.3049290316148</v>
      </c>
      <c r="V41" s="359">
        <f>Rounding!V113</f>
        <v>4000.7787489043858</v>
      </c>
      <c r="W41" s="359">
        <f>Rounding!W113</f>
        <v>58.506264025464517</v>
      </c>
      <c r="X41" s="359">
        <f>Rounding!X113</f>
        <v>612.58276698517614</v>
      </c>
      <c r="Y41" s="359">
        <f>Rounding!Y113</f>
        <v>988.14321683408946</v>
      </c>
      <c r="Z41" s="359">
        <f>Rounding!Z113</f>
        <v>1630.0026532396487</v>
      </c>
      <c r="AA41" s="359">
        <f>Rounding!AA113</f>
        <v>4036.4764731124183</v>
      </c>
      <c r="AB41" s="359">
        <f>Rounding!AB113</f>
        <v>209.1390454732356</v>
      </c>
      <c r="AC41" s="359">
        <f>Rounding!AC113</f>
        <v>3339.8747864874731</v>
      </c>
      <c r="AD41" s="359">
        <f>Rounding!AD113</f>
        <v>8321.403832065158</v>
      </c>
      <c r="AE41" s="359">
        <f>Rounding!AE113</f>
        <v>16099.712134562707</v>
      </c>
      <c r="AF41" s="359">
        <f>Rounding!AF113</f>
        <v>41095.450681083559</v>
      </c>
      <c r="AG41" s="359">
        <f>Rounding!AG113</f>
        <v>0</v>
      </c>
      <c r="AH41" s="359">
        <f>Rounding!AH113</f>
        <v>0</v>
      </c>
      <c r="AI41" s="359">
        <f>Rounding!AI113</f>
        <v>0</v>
      </c>
      <c r="AJ41" s="359">
        <f>Rounding!AJ113</f>
        <v>0</v>
      </c>
      <c r="AK41" s="359">
        <f>Rounding!AL113</f>
        <v>0</v>
      </c>
      <c r="AL41" s="359">
        <f>Rounding!AN113</f>
        <v>416.37953829088679</v>
      </c>
    </row>
    <row r="42" spans="3:40" x14ac:dyDescent="0.35">
      <c r="C42" s="225"/>
      <c r="D42"/>
      <c r="F42" s="228" t="s">
        <v>160</v>
      </c>
      <c r="G42" s="228" t="s">
        <v>271</v>
      </c>
      <c r="H42" t="s">
        <v>772</v>
      </c>
      <c r="J42" s="359">
        <f>Rounding!J114</f>
        <v>0</v>
      </c>
      <c r="K42" s="359">
        <f>Rounding!K114</f>
        <v>0</v>
      </c>
      <c r="L42" s="359">
        <f>Rounding!L114</f>
        <v>0</v>
      </c>
      <c r="M42" s="359">
        <f>Rounding!M114</f>
        <v>0</v>
      </c>
      <c r="N42" s="359">
        <f>Rounding!N114</f>
        <v>0</v>
      </c>
      <c r="O42" s="359">
        <f>Rounding!O114</f>
        <v>0</v>
      </c>
      <c r="P42" s="359">
        <f>Rounding!P114</f>
        <v>0</v>
      </c>
      <c r="Q42" s="359">
        <f>Rounding!Q114</f>
        <v>0</v>
      </c>
      <c r="R42" s="359">
        <f>Rounding!R114</f>
        <v>4.102817462086314</v>
      </c>
      <c r="S42" s="359">
        <f>Rounding!S114</f>
        <v>4.102817462086314</v>
      </c>
      <c r="T42" s="359">
        <f>Rounding!T114</f>
        <v>4.102817462086314</v>
      </c>
      <c r="U42" s="359">
        <f>Rounding!U114</f>
        <v>4.102817462086314</v>
      </c>
      <c r="V42" s="359">
        <f>Rounding!V114</f>
        <v>4.102817462086314</v>
      </c>
      <c r="W42" s="359">
        <f>Rounding!W114</f>
        <v>5.5071913345692804</v>
      </c>
      <c r="X42" s="359">
        <f>Rounding!X114</f>
        <v>5.5071913345692804</v>
      </c>
      <c r="Y42" s="359">
        <f>Rounding!Y114</f>
        <v>5.5071913345692804</v>
      </c>
      <c r="Z42" s="359">
        <f>Rounding!Z114</f>
        <v>5.5071913345692804</v>
      </c>
      <c r="AA42" s="359">
        <f>Rounding!AA114</f>
        <v>5.5071913345692804</v>
      </c>
      <c r="AB42" s="359">
        <f>Rounding!AB114</f>
        <v>6.4949443898028001</v>
      </c>
      <c r="AC42" s="359">
        <f>Rounding!AC114</f>
        <v>6.4949443898028001</v>
      </c>
      <c r="AD42" s="359">
        <f>Rounding!AD114</f>
        <v>6.4949443898028001</v>
      </c>
      <c r="AE42" s="359">
        <f>Rounding!AE114</f>
        <v>6.4949443898028001</v>
      </c>
      <c r="AF42" s="359">
        <f>Rounding!AF114</f>
        <v>6.4949443898028001</v>
      </c>
      <c r="AG42" s="359">
        <f>Rounding!AG114</f>
        <v>0</v>
      </c>
      <c r="AH42" s="359">
        <f>Rounding!AH114</f>
        <v>0</v>
      </c>
      <c r="AI42" s="359">
        <f>Rounding!AI114</f>
        <v>0</v>
      </c>
      <c r="AJ42" s="359">
        <f>Rounding!AJ114</f>
        <v>0</v>
      </c>
      <c r="AK42" s="359">
        <f>Rounding!AL114</f>
        <v>0</v>
      </c>
      <c r="AL42" s="359">
        <f>Rounding!AN114</f>
        <v>0</v>
      </c>
    </row>
    <row r="43" spans="3:40" x14ac:dyDescent="0.35">
      <c r="C43" s="225"/>
      <c r="D43"/>
      <c r="F43" s="228" t="s">
        <v>161</v>
      </c>
      <c r="G43" s="228" t="s">
        <v>271</v>
      </c>
      <c r="H43" t="s">
        <v>772</v>
      </c>
      <c r="J43" s="359">
        <f>Rounding!J115</f>
        <v>0</v>
      </c>
      <c r="K43" s="359">
        <f>Rounding!K115</f>
        <v>0</v>
      </c>
      <c r="L43" s="359">
        <f>Rounding!L115</f>
        <v>0</v>
      </c>
      <c r="M43" s="359">
        <f>Rounding!M115</f>
        <v>0</v>
      </c>
      <c r="N43" s="359">
        <f>Rounding!N115</f>
        <v>0</v>
      </c>
      <c r="O43" s="359">
        <f>Rounding!O115</f>
        <v>0</v>
      </c>
      <c r="P43" s="359">
        <f>Rounding!P115</f>
        <v>0</v>
      </c>
      <c r="Q43" s="359">
        <f>Rounding!Q115</f>
        <v>0</v>
      </c>
      <c r="R43" s="359">
        <f>Rounding!R115</f>
        <v>7.1725728517083365</v>
      </c>
      <c r="S43" s="359">
        <f>Rounding!S115</f>
        <v>7.1725728517083365</v>
      </c>
      <c r="T43" s="359">
        <f>Rounding!T115</f>
        <v>7.1725728517083365</v>
      </c>
      <c r="U43" s="359">
        <f>Rounding!U115</f>
        <v>7.1725728517083365</v>
      </c>
      <c r="V43" s="359">
        <f>Rounding!V115</f>
        <v>7.1725728517083365</v>
      </c>
      <c r="W43" s="359">
        <f>Rounding!W115</f>
        <v>7.0570430446951793</v>
      </c>
      <c r="X43" s="359">
        <f>Rounding!X115</f>
        <v>7.0570430446951793</v>
      </c>
      <c r="Y43" s="359">
        <f>Rounding!Y115</f>
        <v>7.0570430446951793</v>
      </c>
      <c r="Z43" s="359">
        <f>Rounding!Z115</f>
        <v>7.0570430446951793</v>
      </c>
      <c r="AA43" s="359">
        <f>Rounding!AA115</f>
        <v>7.0570430446951793</v>
      </c>
      <c r="AB43" s="359">
        <f>Rounding!AB115</f>
        <v>7.7468803699975215</v>
      </c>
      <c r="AC43" s="359">
        <f>Rounding!AC115</f>
        <v>7.7468803699975215</v>
      </c>
      <c r="AD43" s="359">
        <f>Rounding!AD115</f>
        <v>7.7468803699975215</v>
      </c>
      <c r="AE43" s="359">
        <f>Rounding!AE115</f>
        <v>7.7468803699975215</v>
      </c>
      <c r="AF43" s="359">
        <f>Rounding!AF115</f>
        <v>7.7468803699975215</v>
      </c>
      <c r="AG43" s="359">
        <f>Rounding!AG115</f>
        <v>0</v>
      </c>
      <c r="AH43" s="359">
        <f>Rounding!AH115</f>
        <v>0</v>
      </c>
      <c r="AI43" s="359">
        <f>Rounding!AI115</f>
        <v>0</v>
      </c>
      <c r="AJ43" s="359">
        <f>Rounding!AJ115</f>
        <v>0</v>
      </c>
      <c r="AK43" s="359">
        <f>Rounding!AL115</f>
        <v>0</v>
      </c>
      <c r="AL43" s="359">
        <f>Rounding!AN115</f>
        <v>0</v>
      </c>
    </row>
    <row r="44" spans="3:40" x14ac:dyDescent="0.35">
      <c r="C44" s="225"/>
      <c r="D44"/>
      <c r="F44" s="229" t="s">
        <v>162</v>
      </c>
      <c r="G44" s="229" t="s">
        <v>272</v>
      </c>
      <c r="H44" s="258" t="s">
        <v>772</v>
      </c>
      <c r="I44" s="258"/>
      <c r="J44" s="275">
        <f>Rounding!J116</f>
        <v>0</v>
      </c>
      <c r="K44" s="275">
        <f>Rounding!K116</f>
        <v>0</v>
      </c>
      <c r="L44" s="275">
        <f>Rounding!L116</f>
        <v>0</v>
      </c>
      <c r="M44" s="275">
        <f>Rounding!M116</f>
        <v>0</v>
      </c>
      <c r="N44" s="275">
        <f>Rounding!N116</f>
        <v>0</v>
      </c>
      <c r="O44" s="275">
        <f>Rounding!O116</f>
        <v>0</v>
      </c>
      <c r="P44" s="275">
        <f>Rounding!P116</f>
        <v>0</v>
      </c>
      <c r="Q44" s="275">
        <f>Rounding!Q116</f>
        <v>0</v>
      </c>
      <c r="R44" s="275">
        <f>Rounding!R116</f>
        <v>0.24512613643318029</v>
      </c>
      <c r="S44" s="275">
        <f>Rounding!S116</f>
        <v>0.24512613643318029</v>
      </c>
      <c r="T44" s="275">
        <f>Rounding!T116</f>
        <v>0.24512613643318029</v>
      </c>
      <c r="U44" s="275">
        <f>Rounding!U116</f>
        <v>0.24512613643318029</v>
      </c>
      <c r="V44" s="275">
        <f>Rounding!V116</f>
        <v>0.24512613643318029</v>
      </c>
      <c r="W44" s="275">
        <f>Rounding!W116</f>
        <v>0.13673476998950587</v>
      </c>
      <c r="X44" s="275">
        <f>Rounding!X116</f>
        <v>0.13673476998950587</v>
      </c>
      <c r="Y44" s="275">
        <f>Rounding!Y116</f>
        <v>0.13673476998950587</v>
      </c>
      <c r="Z44" s="275">
        <f>Rounding!Z116</f>
        <v>0.13673476998950587</v>
      </c>
      <c r="AA44" s="275">
        <f>Rounding!AA116</f>
        <v>0.13673476998950587</v>
      </c>
      <c r="AB44" s="275">
        <f>Rounding!AB116</f>
        <v>0.10397606554030356</v>
      </c>
      <c r="AC44" s="275">
        <f>Rounding!AC116</f>
        <v>0.10397606554030356</v>
      </c>
      <c r="AD44" s="275">
        <f>Rounding!AD116</f>
        <v>0.10397606554030356</v>
      </c>
      <c r="AE44" s="275">
        <f>Rounding!AE116</f>
        <v>0.10397606554030356</v>
      </c>
      <c r="AF44" s="275">
        <f>Rounding!AF116</f>
        <v>0.10397606554030356</v>
      </c>
      <c r="AG44" s="275">
        <f>Rounding!AG116</f>
        <v>0</v>
      </c>
      <c r="AH44" s="275">
        <f>Rounding!AH116</f>
        <v>0</v>
      </c>
      <c r="AI44" s="275">
        <f>Rounding!AI116</f>
        <v>0</v>
      </c>
      <c r="AJ44" s="275">
        <f>Rounding!AJ116</f>
        <v>0.25365596464299434</v>
      </c>
      <c r="AK44" s="275">
        <f>Rounding!AL116</f>
        <v>0.20991484341611574</v>
      </c>
      <c r="AL44" s="275">
        <f>Rounding!AN116</f>
        <v>0.18197756357782038</v>
      </c>
    </row>
    <row r="45" spans="3:40" x14ac:dyDescent="0.35">
      <c r="D45"/>
      <c r="E45"/>
      <c r="F45" s="230"/>
    </row>
    <row r="46" spans="3:40" x14ac:dyDescent="0.35">
      <c r="D46" s="24" t="s">
        <v>896</v>
      </c>
      <c r="E46"/>
    </row>
    <row r="48" spans="3:40" ht="60" customHeight="1" x14ac:dyDescent="0.35">
      <c r="D48"/>
      <c r="E48"/>
      <c r="F48" s="230"/>
      <c r="J48" s="226" t="s">
        <v>908</v>
      </c>
      <c r="K48" s="226" t="s">
        <v>829</v>
      </c>
      <c r="L48" s="226" t="s">
        <v>909</v>
      </c>
      <c r="M48" s="226" t="s">
        <v>910</v>
      </c>
      <c r="N48" s="226" t="s">
        <v>911</v>
      </c>
      <c r="O48" s="226" t="s">
        <v>912</v>
      </c>
      <c r="P48" s="226" t="s">
        <v>913</v>
      </c>
      <c r="Q48" s="226" t="s">
        <v>830</v>
      </c>
      <c r="R48" s="226" t="s">
        <v>914</v>
      </c>
      <c r="S48" s="226" t="s">
        <v>915</v>
      </c>
      <c r="T48" s="226" t="s">
        <v>916</v>
      </c>
      <c r="U48" s="226" t="s">
        <v>917</v>
      </c>
      <c r="V48" s="226" t="s">
        <v>918</v>
      </c>
      <c r="W48" s="226" t="s">
        <v>919</v>
      </c>
      <c r="X48" s="226" t="s">
        <v>920</v>
      </c>
      <c r="Y48" s="226" t="s">
        <v>921</v>
      </c>
      <c r="Z48" s="226" t="s">
        <v>922</v>
      </c>
      <c r="AA48" s="226" t="s">
        <v>923</v>
      </c>
      <c r="AB48" s="226" t="s">
        <v>924</v>
      </c>
      <c r="AC48" s="226" t="s">
        <v>925</v>
      </c>
      <c r="AD48" s="226" t="s">
        <v>926</v>
      </c>
      <c r="AE48" s="226" t="s">
        <v>927</v>
      </c>
      <c r="AF48" s="226" t="s">
        <v>928</v>
      </c>
      <c r="AG48" s="226" t="s">
        <v>839</v>
      </c>
      <c r="AH48" s="226" t="s">
        <v>831</v>
      </c>
      <c r="AI48" s="226" t="s">
        <v>832</v>
      </c>
      <c r="AJ48" s="226" t="s">
        <v>833</v>
      </c>
      <c r="AK48" s="226" t="s">
        <v>834</v>
      </c>
      <c r="AL48" s="226" t="s">
        <v>835</v>
      </c>
    </row>
    <row r="49" spans="2:40" x14ac:dyDescent="0.35">
      <c r="D49"/>
      <c r="E49" t="s">
        <v>893</v>
      </c>
      <c r="F49" s="230"/>
      <c r="G49" t="s">
        <v>270</v>
      </c>
      <c r="J49" s="223">
        <f>Rounding!J47</f>
        <v>0.75134981777169907</v>
      </c>
      <c r="K49" s="223">
        <f>Rounding!K47</f>
        <v>0</v>
      </c>
      <c r="L49" s="223">
        <f>Rounding!L47</f>
        <v>0.5241968534583672</v>
      </c>
      <c r="M49" s="223">
        <f>Rounding!M47</f>
        <v>0.5241968534583672</v>
      </c>
      <c r="N49" s="223">
        <f>Rounding!N47</f>
        <v>0.5241968534583672</v>
      </c>
      <c r="O49" s="223">
        <f>Rounding!O47</f>
        <v>0.5241968534583672</v>
      </c>
      <c r="P49" s="223">
        <f>Rounding!P47</f>
        <v>0.5241968534583672</v>
      </c>
      <c r="Q49" s="223">
        <f>Rounding!Q47</f>
        <v>0</v>
      </c>
      <c r="R49" s="223">
        <f>Rounding!R47</f>
        <v>0.5241968534583672</v>
      </c>
      <c r="S49" s="223">
        <f>Rounding!S47</f>
        <v>0.5241968534583672</v>
      </c>
      <c r="T49" s="223">
        <f>Rounding!T47</f>
        <v>0.5241968534583672</v>
      </c>
      <c r="U49" s="223">
        <f>Rounding!U47</f>
        <v>0.5241968534583672</v>
      </c>
      <c r="V49" s="223">
        <f>Rounding!V47</f>
        <v>0.5241968534583672</v>
      </c>
      <c r="W49" s="223">
        <f>Rounding!W47</f>
        <v>0.5241968534583672</v>
      </c>
      <c r="X49" s="223">
        <f>Rounding!X47</f>
        <v>0.5241968534583672</v>
      </c>
      <c r="Y49" s="223">
        <f>Rounding!Y47</f>
        <v>0.5241968534583672</v>
      </c>
      <c r="Z49" s="223">
        <f>Rounding!Z47</f>
        <v>0.5241968534583672</v>
      </c>
      <c r="AA49" s="223">
        <f>Rounding!AA47</f>
        <v>0.5241968534583672</v>
      </c>
      <c r="AB49" s="223">
        <f>Rounding!AB47</f>
        <v>0.5241968534583672</v>
      </c>
      <c r="AC49" s="223">
        <f>Rounding!AC47</f>
        <v>0.5241968534583672</v>
      </c>
      <c r="AD49" s="223">
        <f>Rounding!AD47</f>
        <v>0.5241968534583672</v>
      </c>
      <c r="AE49" s="223">
        <f>Rounding!AE47</f>
        <v>0.5241968534583672</v>
      </c>
      <c r="AF49" s="223">
        <f>Rounding!AF47</f>
        <v>0.5241968534583672</v>
      </c>
      <c r="AG49" s="223">
        <f>Rounding!AG47</f>
        <v>0</v>
      </c>
      <c r="AH49" s="223">
        <f>Rounding!AH47</f>
        <v>0</v>
      </c>
      <c r="AI49" s="223">
        <f>Rounding!AI47</f>
        <v>0</v>
      </c>
      <c r="AJ49" s="223">
        <f>Rounding!AJ47</f>
        <v>0</v>
      </c>
      <c r="AK49" s="223">
        <f>Rounding!AL47</f>
        <v>0</v>
      </c>
      <c r="AL49" s="223">
        <f>Rounding!AN47</f>
        <v>0</v>
      </c>
    </row>
    <row r="50" spans="2:40" x14ac:dyDescent="0.35">
      <c r="D50"/>
      <c r="E50"/>
      <c r="F50" s="230"/>
    </row>
    <row r="51" spans="2:40" x14ac:dyDescent="0.35">
      <c r="C51" s="26" t="str">
        <f ca="1">INDEX('Version control'!$H$38:$H$61,MATCH($A$1,'Version control'!$F$38:$F$61,0),1)&amp;"-D: CDCM non-tariff outputs to EDCM"</f>
        <v>Output 102-D: CDCM non-tariff outputs to EDCM</v>
      </c>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row>
    <row r="52" spans="2:40" x14ac:dyDescent="0.35">
      <c r="C52" s="2"/>
      <c r="D52"/>
    </row>
    <row r="53" spans="2:40" x14ac:dyDescent="0.35">
      <c r="D53" s="24" t="s">
        <v>814</v>
      </c>
      <c r="E53"/>
    </row>
    <row r="55" spans="2:40" x14ac:dyDescent="0.35">
      <c r="D55"/>
      <c r="F55" s="2"/>
      <c r="G55" s="2"/>
      <c r="H55" s="2"/>
      <c r="I55" s="2"/>
      <c r="J55" s="104" t="s">
        <v>191</v>
      </c>
      <c r="K55" s="104" t="s">
        <v>192</v>
      </c>
      <c r="L55" s="104" t="s">
        <v>193</v>
      </c>
      <c r="M55" s="104" t="s">
        <v>194</v>
      </c>
      <c r="N55" s="104" t="s">
        <v>195</v>
      </c>
      <c r="O55" s="104" t="s">
        <v>196</v>
      </c>
      <c r="P55" s="104" t="s">
        <v>197</v>
      </c>
      <c r="Q55" s="104" t="s">
        <v>198</v>
      </c>
      <c r="R55" s="104" t="s">
        <v>199</v>
      </c>
      <c r="S55" s="104" t="s">
        <v>375</v>
      </c>
      <c r="T55" s="104" t="s">
        <v>376</v>
      </c>
    </row>
    <row r="56" spans="2:40" x14ac:dyDescent="0.35">
      <c r="D56"/>
      <c r="E56" s="289" t="s">
        <v>825</v>
      </c>
      <c r="F56" s="289"/>
      <c r="G56" s="57" t="s">
        <v>167</v>
      </c>
      <c r="H56" s="28"/>
      <c r="I56" s="28"/>
      <c r="J56" s="290"/>
      <c r="K56" s="291">
        <f t="array" ref="K56:O56">TRANSPOSE('System peak demand'!H227:H231)</f>
        <v>7.6876214739846072E-2</v>
      </c>
      <c r="L56" s="291">
        <v>7.6876214739846072E-2</v>
      </c>
      <c r="M56" s="291">
        <v>0.15995031141032889</v>
      </c>
      <c r="N56" s="291">
        <v>0.15995031141032889</v>
      </c>
      <c r="O56" s="291">
        <v>7.6876214739846072E-2</v>
      </c>
      <c r="P56" s="290"/>
      <c r="Q56" s="290"/>
      <c r="R56" s="290"/>
      <c r="S56" s="290"/>
      <c r="T56" s="290"/>
    </row>
    <row r="57" spans="2:40" x14ac:dyDescent="0.35">
      <c r="D57"/>
      <c r="E57" s="292" t="s">
        <v>826</v>
      </c>
      <c r="F57" s="292"/>
      <c r="G57" s="98" t="s">
        <v>519</v>
      </c>
      <c r="H57" s="98"/>
      <c r="I57" s="98"/>
      <c r="J57" s="293">
        <f t="array" ref="J57:O57">TRANSPOSE('System peak demand'!H154:H159)</f>
        <v>4239883.9430370191</v>
      </c>
      <c r="K57" s="293">
        <v>4155424.9853458507</v>
      </c>
      <c r="L57" s="293">
        <v>4138935.2036579694</v>
      </c>
      <c r="M57" s="293">
        <v>4058766.3575074957</v>
      </c>
      <c r="N57" s="293">
        <v>4038831.3557515629</v>
      </c>
      <c r="O57" s="293">
        <v>0</v>
      </c>
      <c r="P57" s="294"/>
      <c r="Q57" s="294"/>
      <c r="R57" s="294"/>
      <c r="S57" s="294"/>
      <c r="T57" s="294"/>
    </row>
    <row r="58" spans="2:40" x14ac:dyDescent="0.35">
      <c r="D58"/>
      <c r="E58" s="292" t="s">
        <v>815</v>
      </c>
      <c r="F58" s="292"/>
      <c r="G58" s="98" t="s">
        <v>277</v>
      </c>
      <c r="H58" s="98"/>
      <c r="I58" s="98"/>
      <c r="J58" s="294"/>
      <c r="K58" s="293">
        <f>'Unit costs'!L108</f>
        <v>942489173.62997806</v>
      </c>
      <c r="L58" s="293">
        <f>'Unit costs'!M108</f>
        <v>243867060.92481834</v>
      </c>
      <c r="M58" s="293">
        <f>'Unit costs'!N108</f>
        <v>700027122.42113173</v>
      </c>
      <c r="N58" s="293">
        <f>'Unit costs'!O108</f>
        <v>602585139.72818041</v>
      </c>
      <c r="O58" s="293">
        <f>'Unit costs'!P108</f>
        <v>0</v>
      </c>
      <c r="P58" s="293">
        <f>'Unit costs'!Q108</f>
        <v>1915158171.039634</v>
      </c>
      <c r="Q58" s="293">
        <f>'Unit costs'!R108</f>
        <v>730435840.52982497</v>
      </c>
      <c r="R58" s="293">
        <f>'Unit costs'!S108</f>
        <v>1305586466.8826966</v>
      </c>
      <c r="S58" s="293">
        <f>'Unit costs'!T108</f>
        <v>1682006215.7944007</v>
      </c>
      <c r="T58" s="293">
        <f>'Unit costs'!U108</f>
        <v>54784207.390659429</v>
      </c>
    </row>
    <row r="59" spans="2:40" x14ac:dyDescent="0.35">
      <c r="D59"/>
      <c r="E59" s="295" t="s">
        <v>391</v>
      </c>
      <c r="F59" s="295"/>
      <c r="G59" s="19" t="s">
        <v>283</v>
      </c>
      <c r="H59" s="19"/>
      <c r="I59" s="19"/>
      <c r="J59" s="222">
        <f>'Load &amp; loss characteristics'!K29</f>
        <v>1</v>
      </c>
      <c r="K59" s="222">
        <f>'Load &amp; loss characteristics'!L29</f>
        <v>1.004</v>
      </c>
      <c r="L59" s="222">
        <f>'Load &amp; loss characteristics'!M29</f>
        <v>1.008</v>
      </c>
      <c r="M59" s="222">
        <f>'Load &amp; loss characteristics'!N29</f>
        <v>1.0129999999999999</v>
      </c>
      <c r="N59" s="222">
        <f>'Load &amp; loss characteristics'!O29</f>
        <v>1.018</v>
      </c>
      <c r="O59" s="222">
        <f>'Load &amp; loss characteristics'!P29</f>
        <v>1.018</v>
      </c>
      <c r="P59" s="73"/>
      <c r="Q59" s="73"/>
      <c r="R59" s="73"/>
      <c r="S59" s="73"/>
      <c r="T59" s="73"/>
    </row>
    <row r="60" spans="2:40" x14ac:dyDescent="0.35">
      <c r="D60"/>
      <c r="E60"/>
      <c r="F60" s="230"/>
    </row>
    <row r="61" spans="2:40" x14ac:dyDescent="0.35">
      <c r="B61" s="25" t="s">
        <v>816</v>
      </c>
      <c r="C61" s="25"/>
      <c r="D61" s="25"/>
      <c r="E61" s="25"/>
      <c r="F61" s="25"/>
      <c r="G61" s="25"/>
      <c r="H61" s="25"/>
      <c r="I61" s="25"/>
      <c r="J61" s="25"/>
      <c r="K61" s="2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row>
    <row r="63" spans="2:40" x14ac:dyDescent="0.35">
      <c r="C63" s="26" t="str">
        <f ca="1">INDEX('Version control'!$H$38:$H$61,MATCH($A$1,'Version control'!$F$38:$F$61,0),1)&amp;"-E: Outputs for DNOs' internal use"</f>
        <v>Output 102-E: Outputs for DNOs' internal use</v>
      </c>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row>
    <row r="65" spans="3:40" x14ac:dyDescent="0.35">
      <c r="D65" s="24" t="s">
        <v>817</v>
      </c>
      <c r="E65"/>
    </row>
    <row r="67" spans="3:40" ht="43.5" x14ac:dyDescent="0.35">
      <c r="F67" s="2"/>
      <c r="G67" s="2"/>
      <c r="H67" s="2"/>
      <c r="I67" s="2"/>
      <c r="J67" s="226" t="s">
        <v>908</v>
      </c>
      <c r="K67" s="226" t="s">
        <v>829</v>
      </c>
      <c r="L67" s="226" t="s">
        <v>909</v>
      </c>
      <c r="M67" s="226" t="s">
        <v>910</v>
      </c>
      <c r="N67" s="226" t="s">
        <v>911</v>
      </c>
      <c r="O67" s="226" t="s">
        <v>912</v>
      </c>
      <c r="P67" s="226" t="s">
        <v>913</v>
      </c>
      <c r="Q67" s="226" t="s">
        <v>830</v>
      </c>
      <c r="R67" s="226" t="s">
        <v>914</v>
      </c>
      <c r="S67" s="226" t="s">
        <v>915</v>
      </c>
      <c r="T67" s="226" t="s">
        <v>916</v>
      </c>
      <c r="U67" s="226" t="s">
        <v>917</v>
      </c>
      <c r="V67" s="226" t="s">
        <v>918</v>
      </c>
      <c r="W67" s="226" t="s">
        <v>919</v>
      </c>
      <c r="X67" s="226" t="s">
        <v>920</v>
      </c>
      <c r="Y67" s="226" t="s">
        <v>921</v>
      </c>
      <c r="Z67" s="226" t="s">
        <v>922</v>
      </c>
      <c r="AA67" s="226" t="s">
        <v>923</v>
      </c>
      <c r="AB67" s="226" t="s">
        <v>924</v>
      </c>
      <c r="AC67" s="226" t="s">
        <v>925</v>
      </c>
      <c r="AD67" s="226" t="s">
        <v>926</v>
      </c>
      <c r="AE67" s="226" t="s">
        <v>927</v>
      </c>
      <c r="AF67" s="226" t="s">
        <v>928</v>
      </c>
      <c r="AG67" s="226" t="s">
        <v>839</v>
      </c>
      <c r="AH67" s="226" t="s">
        <v>831</v>
      </c>
      <c r="AI67" s="226" t="s">
        <v>832</v>
      </c>
      <c r="AJ67" s="226" t="s">
        <v>833</v>
      </c>
      <c r="AK67" s="226" t="s">
        <v>834</v>
      </c>
      <c r="AL67" s="226" t="s">
        <v>835</v>
      </c>
    </row>
    <row r="68" spans="3:40" x14ac:dyDescent="0.35">
      <c r="C68" s="225"/>
      <c r="D68"/>
      <c r="E68" s="28" t="s">
        <v>770</v>
      </c>
      <c r="F68" s="28"/>
      <c r="G68" s="76" t="s">
        <v>277</v>
      </c>
      <c r="H68" s="28" t="s">
        <v>772</v>
      </c>
      <c r="I68" s="28"/>
      <c r="J68" s="224">
        <f>'Net revenue summary'!J140</f>
        <v>154.64458658703688</v>
      </c>
      <c r="K68" s="224">
        <f>'Net revenue summary'!K140</f>
        <v>17.300193719891229</v>
      </c>
      <c r="L68" s="224">
        <f>'Net revenue summary'!L140</f>
        <v>415.04040004805813</v>
      </c>
      <c r="M68" s="224">
        <f>'Net revenue summary'!M140</f>
        <v>148.10314850913284</v>
      </c>
      <c r="N68" s="224">
        <f>'Net revenue summary'!N140</f>
        <v>341.3961248847624</v>
      </c>
      <c r="O68" s="224">
        <f>'Net revenue summary'!O140</f>
        <v>714.13980706641371</v>
      </c>
      <c r="P68" s="224">
        <f>'Net revenue summary'!P140</f>
        <v>1937.7346922854329</v>
      </c>
      <c r="Q68" s="224">
        <f>'Net revenue summary'!Q140</f>
        <v>33.715624405942208</v>
      </c>
      <c r="R68" s="224">
        <f>'Net revenue summary'!R140</f>
        <v>1510.7813093455543</v>
      </c>
      <c r="S68" s="224">
        <f>'Net revenue summary'!S140</f>
        <v>4092.5230436776255</v>
      </c>
      <c r="T68" s="224">
        <f>'Net revenue summary'!T140</f>
        <v>6870.9891896713298</v>
      </c>
      <c r="U68" s="224">
        <f>'Net revenue summary'!U140</f>
        <v>11562.815223353608</v>
      </c>
      <c r="V68" s="224">
        <f>'Net revenue summary'!V140</f>
        <v>28473.800079777557</v>
      </c>
      <c r="W68" s="224">
        <f>'Net revenue summary'!W140</f>
        <v>0</v>
      </c>
      <c r="X68" s="224">
        <f>'Net revenue summary'!X140</f>
        <v>5432.7673824422773</v>
      </c>
      <c r="Y68" s="224">
        <f>'Net revenue summary'!Y140</f>
        <v>8350.951454946422</v>
      </c>
      <c r="Z68" s="224">
        <f>'Net revenue summary'!Z140</f>
        <v>12090.886186271933</v>
      </c>
      <c r="AA68" s="224">
        <f>'Net revenue summary'!AA140</f>
        <v>34770.482151469143</v>
      </c>
      <c r="AB68" s="224">
        <f>'Net revenue summary'!AB140</f>
        <v>1601.4513167763862</v>
      </c>
      <c r="AC68" s="224">
        <f>'Net revenue summary'!AC140</f>
        <v>20712.924834233872</v>
      </c>
      <c r="AD68" s="224">
        <f>'Net revenue summary'!AD140</f>
        <v>52554.580667909053</v>
      </c>
      <c r="AE68" s="224">
        <f>'Net revenue summary'!AE140</f>
        <v>102442.38980694275</v>
      </c>
      <c r="AF68" s="224">
        <f>'Net revenue summary'!AF140</f>
        <v>262252.14385185676</v>
      </c>
      <c r="AG68" s="224">
        <f>'Net revenue summary'!AG140</f>
        <v>3098.5578259922763</v>
      </c>
      <c r="AH68" s="224">
        <f>'Net revenue summary'!AH140</f>
        <v>-14.911703885678078</v>
      </c>
      <c r="AI68" s="224">
        <f>'Net revenue summary'!AI140</f>
        <v>-57.641018974358978</v>
      </c>
      <c r="AJ68" s="224">
        <f>'Net revenue summary'!AJ140</f>
        <v>-540.36944861603581</v>
      </c>
      <c r="AK68" s="224">
        <f>'Net revenue summary'!AL140</f>
        <v>0</v>
      </c>
      <c r="AL68" s="224">
        <f>'Net revenue summary'!AN140</f>
        <v>-21569.400679463757</v>
      </c>
    </row>
    <row r="69" spans="3:40" x14ac:dyDescent="0.35">
      <c r="C69" s="225"/>
      <c r="D69"/>
      <c r="E69" s="98" t="s">
        <v>775</v>
      </c>
      <c r="F69" s="98"/>
      <c r="G69" s="204" t="s">
        <v>269</v>
      </c>
      <c r="H69" s="296" t="s">
        <v>772</v>
      </c>
      <c r="I69" s="296"/>
      <c r="J69" s="400">
        <f>'Net revenue summary'!J146</f>
        <v>4.8442173042827683</v>
      </c>
      <c r="K69" s="400">
        <f>'Net revenue summary'!K146</f>
        <v>0.40653110970693612</v>
      </c>
      <c r="L69" s="400">
        <f>'Net revenue summary'!L146</f>
        <v>1.6866505335995636</v>
      </c>
      <c r="M69" s="400">
        <f>'Net revenue summary'!M146</f>
        <v>5.063170185048893</v>
      </c>
      <c r="N69" s="400">
        <f>'Net revenue summary'!N146</f>
        <v>4.2637717747417616</v>
      </c>
      <c r="O69" s="400">
        <f>'Net revenue summary'!O146</f>
        <v>3.9850323464897603</v>
      </c>
      <c r="P69" s="400">
        <f>'Net revenue summary'!P146</f>
        <v>3.8637144350589088</v>
      </c>
      <c r="Q69" s="400">
        <f>'Net revenue summary'!Q146</f>
        <v>0.44912373306371373</v>
      </c>
      <c r="R69" s="400">
        <f>'Net revenue summary'!R146</f>
        <v>2.348510393725995</v>
      </c>
      <c r="S69" s="400">
        <f>'Net revenue summary'!S146</f>
        <v>4.5691192344238232</v>
      </c>
      <c r="T69" s="400">
        <f>'Net revenue summary'!T146</f>
        <v>4.48825074598368</v>
      </c>
      <c r="U69" s="400">
        <f>'Net revenue summary'!U146</f>
        <v>4.4629385319600967</v>
      </c>
      <c r="V69" s="400">
        <f>'Net revenue summary'!V146</f>
        <v>4.5498313160492438</v>
      </c>
      <c r="W69" s="400">
        <f>'Net revenue summary'!W146</f>
        <v>0</v>
      </c>
      <c r="X69" s="400">
        <f>'Net revenue summary'!X146</f>
        <v>2.5735193746575669</v>
      </c>
      <c r="Y69" s="400">
        <f>'Net revenue summary'!Y146</f>
        <v>2.665091658642579</v>
      </c>
      <c r="Z69" s="400">
        <f>'Net revenue summary'!Z146</f>
        <v>2.9805355586230466</v>
      </c>
      <c r="AA69" s="400">
        <f>'Net revenue summary'!AA146</f>
        <v>2.6265021404629554</v>
      </c>
      <c r="AB69" s="400">
        <f>'Net revenue summary'!AB146</f>
        <v>3.212331981323167</v>
      </c>
      <c r="AC69" s="400">
        <f>'Net revenue summary'!AC146</f>
        <v>4.0774720632803652</v>
      </c>
      <c r="AD69" s="400">
        <f>'Net revenue summary'!AD146</f>
        <v>3.9743944610795832</v>
      </c>
      <c r="AE69" s="400">
        <f>'Net revenue summary'!AE146</f>
        <v>3.9340926926899558</v>
      </c>
      <c r="AF69" s="400">
        <f>'Net revenue summary'!AF146</f>
        <v>3.9186671864675646</v>
      </c>
      <c r="AG69" s="400">
        <f>'Net revenue summary'!AG146</f>
        <v>6.6693440323330764</v>
      </c>
      <c r="AH69" s="400">
        <f>'Net revenue summary'!AH146</f>
        <v>-1.3026044542979685</v>
      </c>
      <c r="AI69" s="400">
        <f>'Net revenue summary'!AI146</f>
        <v>-1.0571907034927746</v>
      </c>
      <c r="AJ69" s="400">
        <f>'Net revenue summary'!AJ146</f>
        <v>-1.0670983391089968</v>
      </c>
      <c r="AK69" s="400">
        <f>'Net revenue summary'!AL146</f>
        <v>0</v>
      </c>
      <c r="AL69" s="400">
        <f>'Net revenue summary'!AN146</f>
        <v>-0.58218719848144596</v>
      </c>
    </row>
    <row r="70" spans="3:40" x14ac:dyDescent="0.35">
      <c r="C70" s="225"/>
      <c r="D70"/>
      <c r="E70" s="98" t="s">
        <v>784</v>
      </c>
      <c r="F70" s="98"/>
      <c r="G70" s="98" t="s">
        <v>167</v>
      </c>
      <c r="H70" s="98" t="s">
        <v>772</v>
      </c>
      <c r="I70" s="98"/>
      <c r="J70" s="401" t="str">
        <f>'Net revenue summary'!J172</f>
        <v>-</v>
      </c>
      <c r="K70" s="401" t="str">
        <f>'Net revenue summary'!K172</f>
        <v>-</v>
      </c>
      <c r="L70" s="401" t="str">
        <f>'Net revenue summary'!L172</f>
        <v>-</v>
      </c>
      <c r="M70" s="401" t="str">
        <f>'Net revenue summary'!M172</f>
        <v>-</v>
      </c>
      <c r="N70" s="401" t="str">
        <f>'Net revenue summary'!N172</f>
        <v>-</v>
      </c>
      <c r="O70" s="401" t="str">
        <f>'Net revenue summary'!O172</f>
        <v>-</v>
      </c>
      <c r="P70" s="401" t="str">
        <f>'Net revenue summary'!P172</f>
        <v>-</v>
      </c>
      <c r="Q70" s="401" t="str">
        <f>'Net revenue summary'!Q172</f>
        <v>-</v>
      </c>
      <c r="R70" s="401" t="str">
        <f>'Net revenue summary'!R172</f>
        <v>-</v>
      </c>
      <c r="S70" s="401" t="str">
        <f>'Net revenue summary'!S172</f>
        <v>-</v>
      </c>
      <c r="T70" s="401" t="str">
        <f>'Net revenue summary'!T172</f>
        <v>-</v>
      </c>
      <c r="U70" s="401" t="str">
        <f>'Net revenue summary'!U172</f>
        <v>-</v>
      </c>
      <c r="V70" s="401" t="str">
        <f>'Net revenue summary'!V172</f>
        <v>-</v>
      </c>
      <c r="W70" s="401" t="str">
        <f>'Net revenue summary'!W172</f>
        <v>-</v>
      </c>
      <c r="X70" s="401" t="str">
        <f>'Net revenue summary'!X172</f>
        <v>-</v>
      </c>
      <c r="Y70" s="401" t="str">
        <f>'Net revenue summary'!Y172</f>
        <v>-</v>
      </c>
      <c r="Z70" s="401" t="str">
        <f>'Net revenue summary'!Z172</f>
        <v>-</v>
      </c>
      <c r="AA70" s="401" t="str">
        <f>'Net revenue summary'!AA172</f>
        <v>-</v>
      </c>
      <c r="AB70" s="401" t="str">
        <f>'Net revenue summary'!AB172</f>
        <v>-</v>
      </c>
      <c r="AC70" s="401" t="str">
        <f>'Net revenue summary'!AC172</f>
        <v>-</v>
      </c>
      <c r="AD70" s="401" t="str">
        <f>'Net revenue summary'!AD172</f>
        <v>-</v>
      </c>
      <c r="AE70" s="401" t="str">
        <f>'Net revenue summary'!AE172</f>
        <v>-</v>
      </c>
      <c r="AF70" s="401" t="str">
        <f>'Net revenue summary'!AF172</f>
        <v>-</v>
      </c>
      <c r="AG70" s="401" t="str">
        <f>'Net revenue summary'!AG172</f>
        <v>-</v>
      </c>
      <c r="AH70" s="401" t="str">
        <f>'Net revenue summary'!AH172</f>
        <v>-</v>
      </c>
      <c r="AI70" s="401" t="str">
        <f>'Net revenue summary'!AI172</f>
        <v>-</v>
      </c>
      <c r="AJ70" s="401" t="str">
        <f>'Net revenue summary'!AJ172</f>
        <v>-</v>
      </c>
      <c r="AK70" s="401" t="str">
        <f>'Net revenue summary'!AL172</f>
        <v>-</v>
      </c>
      <c r="AL70" s="401" t="str">
        <f>'Net revenue summary'!AN172</f>
        <v>-</v>
      </c>
    </row>
    <row r="71" spans="3:40" x14ac:dyDescent="0.35">
      <c r="C71" s="225"/>
      <c r="D71"/>
      <c r="E71" s="19" t="s">
        <v>785</v>
      </c>
      <c r="F71" s="19"/>
      <c r="G71" s="19" t="s">
        <v>269</v>
      </c>
      <c r="H71" s="255" t="s">
        <v>772</v>
      </c>
      <c r="I71" s="255"/>
      <c r="J71" s="402">
        <f>'Net revenue summary'!J174</f>
        <v>4.8442173042827683</v>
      </c>
      <c r="K71" s="402">
        <f>'Net revenue summary'!K174</f>
        <v>0.40653110970693618</v>
      </c>
      <c r="L71" s="402">
        <f>'Net revenue summary'!L174</f>
        <v>1.6866505335995636</v>
      </c>
      <c r="M71" s="402">
        <f>'Net revenue summary'!M174</f>
        <v>5.0631701850488939</v>
      </c>
      <c r="N71" s="402">
        <f>'Net revenue summary'!N174</f>
        <v>4.2637717747417616</v>
      </c>
      <c r="O71" s="402">
        <f>'Net revenue summary'!O174</f>
        <v>3.9850323464897599</v>
      </c>
      <c r="P71" s="402">
        <f>'Net revenue summary'!P174</f>
        <v>3.8637144350589088</v>
      </c>
      <c r="Q71" s="402">
        <f>'Net revenue summary'!Q174</f>
        <v>0.44912373306371373</v>
      </c>
      <c r="R71" s="402">
        <f>'Net revenue summary'!R174</f>
        <v>2.348510393725995</v>
      </c>
      <c r="S71" s="402">
        <f>'Net revenue summary'!S174</f>
        <v>4.5691192344238232</v>
      </c>
      <c r="T71" s="402">
        <f>'Net revenue summary'!T174</f>
        <v>4.4882507459836791</v>
      </c>
      <c r="U71" s="402">
        <f>'Net revenue summary'!U174</f>
        <v>4.4629385319600967</v>
      </c>
      <c r="V71" s="402">
        <f>'Net revenue summary'!V174</f>
        <v>4.5498313160492438</v>
      </c>
      <c r="W71" s="402" t="str">
        <f>'Net revenue summary'!W174</f>
        <v>-</v>
      </c>
      <c r="X71" s="402">
        <f>'Net revenue summary'!X174</f>
        <v>2.5735193746575669</v>
      </c>
      <c r="Y71" s="402">
        <f>'Net revenue summary'!Y174</f>
        <v>2.665091658642579</v>
      </c>
      <c r="Z71" s="402">
        <f>'Net revenue summary'!Z174</f>
        <v>2.9805355586230466</v>
      </c>
      <c r="AA71" s="402">
        <f>'Net revenue summary'!AA174</f>
        <v>2.6265021404629554</v>
      </c>
      <c r="AB71" s="402">
        <f>'Net revenue summary'!AB174</f>
        <v>3.2123319813231666</v>
      </c>
      <c r="AC71" s="402">
        <f>'Net revenue summary'!AC174</f>
        <v>4.077472063280366</v>
      </c>
      <c r="AD71" s="402">
        <f>'Net revenue summary'!AD174</f>
        <v>3.9743944610795836</v>
      </c>
      <c r="AE71" s="402">
        <f>'Net revenue summary'!AE174</f>
        <v>3.9340926926899558</v>
      </c>
      <c r="AF71" s="402">
        <f>'Net revenue summary'!AF174</f>
        <v>3.9186671864675646</v>
      </c>
      <c r="AG71" s="402">
        <f>'Net revenue summary'!AG174</f>
        <v>6.6693440323330764</v>
      </c>
      <c r="AH71" s="402">
        <f>'Net revenue summary'!AH174</f>
        <v>-1.3026044542979685</v>
      </c>
      <c r="AI71" s="402">
        <f>'Net revenue summary'!AI174</f>
        <v>-1.0571907034927743</v>
      </c>
      <c r="AJ71" s="402">
        <f>'Net revenue summary'!AJ174</f>
        <v>-1.0670983391089968</v>
      </c>
      <c r="AK71" s="402" t="str">
        <f>'Net revenue summary'!AL174</f>
        <v>-</v>
      </c>
      <c r="AL71" s="402">
        <f>'Net revenue summary'!AN174</f>
        <v>-0.58218719848144596</v>
      </c>
    </row>
    <row r="72" spans="3:40" x14ac:dyDescent="0.35">
      <c r="C72" s="225"/>
    </row>
    <row r="73" spans="3:40" x14ac:dyDescent="0.35">
      <c r="C73" s="26" t="str">
        <f ca="1">INDEX('Version control'!$H$38:$H$61,MATCH($A$1,'Version control'!$F$38:$F$61,0),1)&amp;"-F: Outputs for IDNOs' internal use"</f>
        <v>Output 102-F: Outputs for IDNOs' internal use</v>
      </c>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row>
    <row r="75" spans="3:40" x14ac:dyDescent="0.35">
      <c r="D75" s="24" t="s">
        <v>818</v>
      </c>
      <c r="E75"/>
    </row>
    <row r="76" spans="3:40" x14ac:dyDescent="0.35">
      <c r="D76" s="24" t="s">
        <v>819</v>
      </c>
      <c r="E76"/>
    </row>
    <row r="78" spans="3:40" ht="43.5" x14ac:dyDescent="0.35">
      <c r="E78"/>
      <c r="J78" s="226" t="s">
        <v>908</v>
      </c>
      <c r="K78" s="226" t="s">
        <v>829</v>
      </c>
      <c r="L78" s="226" t="s">
        <v>909</v>
      </c>
      <c r="M78" s="226" t="s">
        <v>910</v>
      </c>
      <c r="N78" s="226" t="s">
        <v>911</v>
      </c>
      <c r="O78" s="226" t="s">
        <v>912</v>
      </c>
      <c r="P78" s="226" t="s">
        <v>913</v>
      </c>
      <c r="Q78" s="226" t="s">
        <v>830</v>
      </c>
      <c r="R78" s="226" t="s">
        <v>914</v>
      </c>
      <c r="S78" s="226" t="s">
        <v>915</v>
      </c>
      <c r="T78" s="226" t="s">
        <v>916</v>
      </c>
      <c r="U78" s="226" t="s">
        <v>917</v>
      </c>
      <c r="V78" s="226" t="s">
        <v>918</v>
      </c>
      <c r="W78" s="226" t="s">
        <v>919</v>
      </c>
      <c r="X78" s="226" t="s">
        <v>920</v>
      </c>
      <c r="Y78" s="226" t="s">
        <v>921</v>
      </c>
      <c r="Z78" s="226" t="s">
        <v>922</v>
      </c>
      <c r="AA78" s="226" t="s">
        <v>923</v>
      </c>
      <c r="AB78" s="226" t="s">
        <v>924</v>
      </c>
      <c r="AC78" s="226" t="s">
        <v>925</v>
      </c>
      <c r="AD78" s="226" t="s">
        <v>926</v>
      </c>
      <c r="AE78" s="226" t="s">
        <v>927</v>
      </c>
      <c r="AF78" s="226" t="s">
        <v>928</v>
      </c>
      <c r="AG78" s="226" t="s">
        <v>839</v>
      </c>
      <c r="AH78" s="226" t="s">
        <v>831</v>
      </c>
      <c r="AI78" s="226" t="s">
        <v>832</v>
      </c>
      <c r="AJ78" s="226" t="s">
        <v>833</v>
      </c>
      <c r="AK78" s="226" t="s">
        <v>834</v>
      </c>
      <c r="AL78" s="226" t="s">
        <v>835</v>
      </c>
    </row>
    <row r="79" spans="3:40" x14ac:dyDescent="0.35">
      <c r="C79" s="225"/>
      <c r="D79"/>
      <c r="E79" s="19" t="s">
        <v>793</v>
      </c>
      <c r="F79" s="19"/>
      <c r="G79" s="54" t="s">
        <v>167</v>
      </c>
      <c r="H79" s="19" t="s">
        <v>447</v>
      </c>
      <c r="I79" s="19"/>
      <c r="J79" s="297">
        <f>'Net revenue summary'!J206</f>
        <v>0.36430784118396276</v>
      </c>
      <c r="K79" s="297">
        <f>'Net revenue summary'!K206</f>
        <v>0.37055228110280125</v>
      </c>
      <c r="L79" s="297">
        <f>'Net revenue summary'!L206</f>
        <v>0.36911223034715984</v>
      </c>
      <c r="M79" s="297">
        <f>'Net revenue summary'!M206</f>
        <v>0.36615609934437549</v>
      </c>
      <c r="N79" s="297">
        <f>'Net revenue summary'!N206</f>
        <v>0.36887312874416334</v>
      </c>
      <c r="O79" s="297">
        <f>'Net revenue summary'!O206</f>
        <v>0.36994208250484872</v>
      </c>
      <c r="P79" s="297">
        <f>'Net revenue summary'!P206</f>
        <v>0.3705443387722549</v>
      </c>
      <c r="Q79" s="297">
        <f>'Net revenue summary'!Q206</f>
        <v>0.36984417454638108</v>
      </c>
      <c r="R79" s="297">
        <f>'Net revenue summary'!R206</f>
        <v>0.37031098152835118</v>
      </c>
      <c r="S79" s="297">
        <f>'Net revenue summary'!S206</f>
        <v>0.37070203279293223</v>
      </c>
      <c r="T79" s="297">
        <f>'Net revenue summary'!T206</f>
        <v>0.37076866183081919</v>
      </c>
      <c r="U79" s="297">
        <f>'Net revenue summary'!U206</f>
        <v>0.37081266712732253</v>
      </c>
      <c r="V79" s="297">
        <f>'Net revenue summary'!V206</f>
        <v>0.37084930802334981</v>
      </c>
      <c r="W79" s="155"/>
      <c r="X79" s="155"/>
      <c r="Y79" s="155"/>
      <c r="Z79" s="155"/>
      <c r="AA79" s="155"/>
      <c r="AB79" s="155"/>
      <c r="AC79" s="155"/>
      <c r="AD79" s="155"/>
      <c r="AE79" s="155"/>
      <c r="AF79" s="155"/>
      <c r="AG79" s="297">
        <f>'Net revenue summary'!AG206</f>
        <v>0.37100243271334588</v>
      </c>
      <c r="AH79" s="297">
        <f>'Net revenue summary'!AH206</f>
        <v>-1.1912500764626567E-16</v>
      </c>
      <c r="AI79" s="155"/>
      <c r="AJ79" s="297">
        <f>'Net revenue summary'!AJ206</f>
        <v>2.1038724156738402E-16</v>
      </c>
      <c r="AK79" s="155"/>
      <c r="AL79" s="155"/>
    </row>
    <row r="80" spans="3:40" x14ac:dyDescent="0.35">
      <c r="C80" s="225"/>
      <c r="D80"/>
      <c r="E80" s="28" t="s">
        <v>794</v>
      </c>
      <c r="F80" s="28"/>
      <c r="G80" s="57" t="s">
        <v>167</v>
      </c>
      <c r="H80" s="28" t="s">
        <v>448</v>
      </c>
      <c r="I80" s="28"/>
      <c r="J80" s="298">
        <f>'Net revenue summary'!J207</f>
        <v>0.53573992753474697</v>
      </c>
      <c r="K80" s="298">
        <f>'Net revenue summary'!K207</f>
        <v>0.54541302468748276</v>
      </c>
      <c r="L80" s="298">
        <f>'Net revenue summary'!L207</f>
        <v>0.54270208095990791</v>
      </c>
      <c r="M80" s="298">
        <f>'Net revenue summary'!M207</f>
        <v>0.53812548634698343</v>
      </c>
      <c r="N80" s="298">
        <f>'Net revenue summary'!N207</f>
        <v>0.54217373431605365</v>
      </c>
      <c r="O80" s="298">
        <f>'Net revenue summary'!O207</f>
        <v>0.54381372036297515</v>
      </c>
      <c r="P80" s="298">
        <f>'Net revenue summary'!P207</f>
        <v>0.5447360876341717</v>
      </c>
      <c r="Q80" s="298">
        <f>'Net revenue summary'!Q207</f>
        <v>0.54535605231362561</v>
      </c>
      <c r="R80" s="298">
        <f>'Net revenue summary'!R207</f>
        <v>0.54391953494863676</v>
      </c>
      <c r="S80" s="298">
        <f>'Net revenue summary'!S207</f>
        <v>0.54469272931895707</v>
      </c>
      <c r="T80" s="298">
        <f>'Net revenue summary'!T207</f>
        <v>0.54479014341051468</v>
      </c>
      <c r="U80" s="298">
        <f>'Net revenue summary'!U207</f>
        <v>0.54484965253868101</v>
      </c>
      <c r="V80" s="298">
        <f>'Net revenue summary'!V207</f>
        <v>0.54491051434481019</v>
      </c>
      <c r="W80" s="298">
        <f>'Net revenue summary'!W207</f>
        <v>0</v>
      </c>
      <c r="X80" s="298">
        <f>'Net revenue summary'!X207</f>
        <v>0.25939078292862816</v>
      </c>
      <c r="Y80" s="298">
        <f>'Net revenue summary'!Y207</f>
        <v>0.25942132396592349</v>
      </c>
      <c r="Z80" s="298">
        <f>'Net revenue summary'!Z207</f>
        <v>0.25944554274192505</v>
      </c>
      <c r="AA80" s="298">
        <f>'Net revenue summary'!AA207</f>
        <v>0.25946687196474405</v>
      </c>
      <c r="AB80" s="298">
        <f>'Net revenue summary'!AB207</f>
        <v>0.15126127863532543</v>
      </c>
      <c r="AC80" s="298">
        <f>'Net revenue summary'!AC207</f>
        <v>0.15142330408121041</v>
      </c>
      <c r="AD80" s="298">
        <f>'Net revenue summary'!AD207</f>
        <v>0.15143188239288038</v>
      </c>
      <c r="AE80" s="298">
        <f>'Net revenue summary'!AE207</f>
        <v>0.15143465598292288</v>
      </c>
      <c r="AF80" s="298">
        <f>'Net revenue summary'!AF207</f>
        <v>0.15143626072497596</v>
      </c>
      <c r="AG80" s="298">
        <f>'Net revenue summary'!AG207</f>
        <v>0.54526128022710163</v>
      </c>
      <c r="AH80" s="298">
        <f>'Net revenue summary'!AH207</f>
        <v>-1.1912500764626567E-16</v>
      </c>
      <c r="AI80" s="298">
        <f>'Net revenue summary'!AI207</f>
        <v>1.2327032873519773E-16</v>
      </c>
      <c r="AJ80" s="298">
        <f>'Net revenue summary'!AJ207</f>
        <v>2.1038724156738402E-16</v>
      </c>
      <c r="AK80" s="298">
        <f>'Net revenue summary'!AL207</f>
        <v>0</v>
      </c>
      <c r="AL80" s="298">
        <f>'Net revenue summary'!AN207</f>
        <v>-7.0460325837750068E-2</v>
      </c>
    </row>
    <row r="82" spans="2:40" x14ac:dyDescent="0.35">
      <c r="B82" s="25" t="s">
        <v>231</v>
      </c>
      <c r="C82" s="25"/>
      <c r="D82" s="25"/>
      <c r="E82" s="25"/>
      <c r="F82" s="25"/>
      <c r="G82" s="25"/>
      <c r="H82" s="25"/>
      <c r="I82" s="25"/>
      <c r="J82" s="25"/>
      <c r="K82" s="25"/>
      <c r="L82" s="94"/>
      <c r="M82" s="94"/>
      <c r="N82" s="94"/>
      <c r="O82" s="94"/>
      <c r="P82" s="94"/>
      <c r="Q82" s="94"/>
      <c r="R82" s="94"/>
      <c r="S82" s="94"/>
      <c r="T82" s="94"/>
      <c r="U82" s="94"/>
      <c r="V82" s="94"/>
      <c r="W82" s="94"/>
      <c r="X82" s="94"/>
      <c r="Y82" s="94"/>
      <c r="Z82" s="94"/>
      <c r="AA82" s="94"/>
      <c r="AB82" s="94"/>
      <c r="AC82" s="94"/>
      <c r="AD82" s="94"/>
      <c r="AE82" s="94"/>
      <c r="AF82" s="94"/>
      <c r="AG82" s="94"/>
      <c r="AH82" s="94"/>
      <c r="AI82" s="94"/>
      <c r="AJ82" s="95"/>
      <c r="AK82" s="95"/>
      <c r="AL82" s="95"/>
      <c r="AM82" s="95"/>
      <c r="AN82" s="95"/>
    </row>
    <row r="84" spans="2:40" x14ac:dyDescent="0.35">
      <c r="E84" t="s">
        <v>232</v>
      </c>
      <c r="G84" s="6" t="s">
        <v>55</v>
      </c>
      <c r="H84" s="93">
        <f t="array" ref="H84">SUM(IF(ISERROR(H19:AL81), 1))</f>
        <v>0</v>
      </c>
    </row>
    <row r="86" spans="2:40" x14ac:dyDescent="0.35">
      <c r="B86" s="25" t="s">
        <v>106</v>
      </c>
      <c r="C86" s="25"/>
      <c r="D86" s="25"/>
      <c r="E86" s="25"/>
      <c r="F86" s="25"/>
      <c r="G86" s="25"/>
      <c r="H86" s="25"/>
      <c r="I86" s="25"/>
      <c r="J86" s="25"/>
      <c r="K86" s="25"/>
      <c r="L86" s="94"/>
      <c r="M86" s="94"/>
      <c r="N86" s="94"/>
      <c r="O86" s="94"/>
      <c r="P86" s="94"/>
      <c r="Q86" s="94"/>
      <c r="R86" s="94"/>
      <c r="S86" s="94"/>
      <c r="T86" s="94"/>
      <c r="U86" s="94"/>
      <c r="V86" s="94"/>
      <c r="W86" s="94"/>
      <c r="X86" s="94"/>
      <c r="Y86" s="94"/>
      <c r="Z86" s="94"/>
      <c r="AA86" s="94"/>
      <c r="AB86" s="94"/>
      <c r="AC86" s="94"/>
      <c r="AD86" s="94"/>
      <c r="AE86" s="94"/>
      <c r="AF86" s="94"/>
      <c r="AG86" s="94"/>
      <c r="AH86" s="94"/>
      <c r="AI86" s="94"/>
      <c r="AJ86" s="95"/>
      <c r="AK86" s="95"/>
      <c r="AL86" s="95"/>
      <c r="AM86" s="95"/>
      <c r="AN86" s="95"/>
    </row>
  </sheetData>
  <sheetProtection sheet="1" formatCells="0" formatColumns="0" formatRows="0" sort="0" autoFilter="0"/>
  <conditionalFormatting sqref="A4:XFD4">
    <cfRule type="expression" dxfId="1" priority="2">
      <formula>LEFT($A$4,1) &lt;&gt; "0"</formula>
    </cfRule>
  </conditionalFormatting>
  <conditionalFormatting sqref="H84">
    <cfRule type="cellIs" dxfId="0" priority="1" operator="greaterThan">
      <formula>0</formula>
    </cfRule>
  </conditionalFormatting>
  <hyperlinks>
    <hyperlink ref="B5:F5" location="'Model map'!A1" display="Click here to return to model map" xr:uid="{00000000-0004-0000-1B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35"/>
  <cols>
    <col min="1" max="5" width="2.54296875" style="3" customWidth="1"/>
    <col min="6" max="6" width="30.54296875" style="3" customWidth="1"/>
    <col min="7" max="7" width="2.54296875" style="3" customWidth="1"/>
    <col min="8" max="8" width="25.54296875" style="4" customWidth="1"/>
    <col min="9" max="9" width="125.453125" style="4" customWidth="1"/>
    <col min="10" max="10" width="2.54296875" style="3" customWidth="1"/>
    <col min="11" max="16384" width="9.453125" style="3" hidden="1"/>
  </cols>
  <sheetData>
    <row r="1" spans="1:9" s="1" customFormat="1" ht="14.5" x14ac:dyDescent="0.35">
      <c r="A1" s="1" t="str">
        <f ca="1">MID(CELL("filename",A1),FIND("]",CELL("filename",A1))+1,255)</f>
        <v>Model map</v>
      </c>
    </row>
    <row r="2" spans="1:9" s="1" customFormat="1" ht="14.5" x14ac:dyDescent="0.35">
      <c r="A2" s="1" t="str">
        <f>Cover!D21&amp;" - "&amp;Cover!D23</f>
        <v>Southern Electric Power Distribution - Final</v>
      </c>
    </row>
    <row r="3" spans="1:9" s="5" customFormat="1" ht="14.5" x14ac:dyDescent="0.35">
      <c r="A3" s="5" t="str">
        <f>Cover!D2&amp;" - "&amp;Cover!D8&amp;" v"&amp;Cover!D10&amp;" - "&amp;Cover!D19</f>
        <v>CDCM charging model - Release for charge setting v9 - 2024/25</v>
      </c>
    </row>
    <row r="5" spans="1:9" customFormat="1" ht="14.5" x14ac:dyDescent="0.35">
      <c r="A5" s="8"/>
      <c r="B5" s="31" t="s">
        <v>107</v>
      </c>
      <c r="C5" s="31"/>
      <c r="D5" s="31"/>
      <c r="E5" s="31"/>
      <c r="F5" s="31"/>
      <c r="G5" s="31"/>
      <c r="H5" s="31"/>
      <c r="I5" s="31"/>
    </row>
    <row r="7" spans="1:9" ht="15" customHeight="1" x14ac:dyDescent="0.35">
      <c r="F7" s="45"/>
      <c r="G7" s="45"/>
      <c r="H7" s="46"/>
      <c r="I7" s="46"/>
    </row>
    <row r="8" spans="1:9" ht="15" customHeight="1" x14ac:dyDescent="0.35">
      <c r="F8" s="45"/>
      <c r="G8" s="45"/>
    </row>
    <row r="9" spans="1:9" ht="15" customHeight="1" x14ac:dyDescent="0.35">
      <c r="F9" s="45"/>
      <c r="G9" s="45"/>
      <c r="H9" s="45"/>
      <c r="I9" s="45"/>
    </row>
    <row r="10" spans="1:9" ht="15" customHeight="1" x14ac:dyDescent="0.35">
      <c r="F10" s="45"/>
      <c r="G10" s="45"/>
      <c r="H10" s="45"/>
      <c r="I10" s="45"/>
    </row>
    <row r="11" spans="1:9" ht="15" customHeight="1" x14ac:dyDescent="0.35">
      <c r="F11" s="45"/>
      <c r="G11" s="45"/>
      <c r="H11" s="45"/>
      <c r="I11" s="3"/>
    </row>
    <row r="12" spans="1:9" ht="15" customHeight="1" x14ac:dyDescent="0.35">
      <c r="F12" s="45"/>
      <c r="H12" s="45"/>
      <c r="I12" s="3"/>
    </row>
    <row r="13" spans="1:9" ht="15" customHeight="1" x14ac:dyDescent="0.35">
      <c r="F13" s="45"/>
      <c r="H13" s="45"/>
      <c r="I13" s="3"/>
    </row>
    <row r="14" spans="1:9" ht="15" customHeight="1" x14ac:dyDescent="0.35">
      <c r="F14" s="45"/>
      <c r="H14" s="45"/>
      <c r="I14" s="3"/>
    </row>
    <row r="15" spans="1:9" ht="14.5" x14ac:dyDescent="0.35">
      <c r="F15" s="47"/>
      <c r="G15" s="47"/>
      <c r="H15" s="47"/>
      <c r="I15" s="47"/>
    </row>
    <row r="16" spans="1:9" ht="15" customHeight="1" x14ac:dyDescent="0.35">
      <c r="H16" s="47"/>
      <c r="I16" s="47"/>
    </row>
    <row r="17" spans="6:9" ht="15" customHeight="1" x14ac:dyDescent="0.35">
      <c r="H17" s="47"/>
      <c r="I17" s="47"/>
    </row>
    <row r="18" spans="6:9" ht="15" customHeight="1" x14ac:dyDescent="0.35">
      <c r="H18" s="47"/>
      <c r="I18" s="47"/>
    </row>
    <row r="19" spans="6:9" ht="15" customHeight="1" x14ac:dyDescent="0.35">
      <c r="F19" s="47"/>
      <c r="G19" s="47"/>
      <c r="H19" s="47"/>
      <c r="I19" s="47"/>
    </row>
    <row r="20" spans="6:9" ht="15" customHeight="1" x14ac:dyDescent="0.35">
      <c r="F20" s="47"/>
      <c r="G20" s="47"/>
      <c r="H20" s="47"/>
      <c r="I20" s="47"/>
    </row>
    <row r="21" spans="6:9" ht="15" customHeight="1" x14ac:dyDescent="0.35">
      <c r="F21" s="47"/>
      <c r="G21" s="47"/>
      <c r="H21" s="47"/>
      <c r="I21" s="47"/>
    </row>
    <row r="22" spans="6:9" ht="15" customHeight="1" x14ac:dyDescent="0.35">
      <c r="F22" s="47"/>
      <c r="G22" s="47"/>
      <c r="H22" s="47"/>
      <c r="I22" s="47"/>
    </row>
    <row r="23" spans="6:9" ht="15" customHeight="1" x14ac:dyDescent="0.35">
      <c r="F23" s="47"/>
      <c r="G23" s="47"/>
      <c r="H23" s="47"/>
      <c r="I23" s="47"/>
    </row>
    <row r="24" spans="6:9" ht="15" customHeight="1" x14ac:dyDescent="0.35">
      <c r="F24" s="47"/>
      <c r="G24" s="47"/>
      <c r="H24" s="47"/>
      <c r="I24" s="47"/>
    </row>
    <row r="25" spans="6:9" ht="15" customHeight="1" x14ac:dyDescent="0.35">
      <c r="F25" s="47"/>
      <c r="G25" s="47"/>
      <c r="H25" s="47"/>
      <c r="I25" s="47"/>
    </row>
    <row r="26" spans="6:9" ht="15" customHeight="1" x14ac:dyDescent="0.35">
      <c r="F26" s="47"/>
      <c r="G26" s="47"/>
      <c r="H26" s="47"/>
      <c r="I26" s="47"/>
    </row>
    <row r="27" spans="6:9" ht="15" customHeight="1" x14ac:dyDescent="0.35">
      <c r="F27" s="47"/>
      <c r="G27" s="47"/>
      <c r="H27" s="47"/>
      <c r="I27" s="47"/>
    </row>
    <row r="28" spans="6:9" ht="15" customHeight="1" x14ac:dyDescent="0.35">
      <c r="F28" s="47"/>
      <c r="G28" s="47"/>
      <c r="H28" s="47"/>
      <c r="I28" s="47"/>
    </row>
    <row r="29" spans="6:9" ht="15" customHeight="1" x14ac:dyDescent="0.35">
      <c r="F29" s="47"/>
      <c r="G29" s="47"/>
      <c r="H29" s="47"/>
      <c r="I29" s="47"/>
    </row>
    <row r="30" spans="6:9" ht="15" customHeight="1" x14ac:dyDescent="0.35">
      <c r="F30" s="47"/>
      <c r="G30" s="47"/>
      <c r="H30" s="47"/>
      <c r="I30" s="47"/>
    </row>
    <row r="31" spans="6:9" ht="15" customHeight="1" x14ac:dyDescent="0.35">
      <c r="F31" s="47"/>
      <c r="G31" s="47"/>
      <c r="H31" s="47"/>
      <c r="I31" s="47"/>
    </row>
    <row r="32" spans="6:9" ht="15" customHeight="1" x14ac:dyDescent="0.35">
      <c r="F32" s="47"/>
      <c r="G32" s="47"/>
      <c r="H32" s="47"/>
      <c r="I32" s="47"/>
    </row>
    <row r="33" spans="6:9" ht="15" customHeight="1" x14ac:dyDescent="0.35">
      <c r="F33" s="47"/>
      <c r="G33" s="47"/>
      <c r="H33" s="47"/>
      <c r="I33" s="47"/>
    </row>
    <row r="34" spans="6:9" customFormat="1" ht="14.5" x14ac:dyDescent="0.35">
      <c r="F34" s="47"/>
      <c r="G34" s="47"/>
      <c r="H34" s="47"/>
      <c r="I34" s="47"/>
    </row>
    <row r="35" spans="6:9" customFormat="1" ht="14.5" x14ac:dyDescent="0.35">
      <c r="F35" s="47"/>
      <c r="G35" s="47"/>
      <c r="H35" s="47"/>
      <c r="I35" s="47"/>
    </row>
    <row r="36" spans="6:9" customFormat="1" ht="14.5" x14ac:dyDescent="0.35">
      <c r="F36" s="47"/>
      <c r="G36" s="47"/>
      <c r="H36" s="47"/>
      <c r="I36" s="47"/>
    </row>
    <row r="37" spans="6:9" customFormat="1" ht="14.5" x14ac:dyDescent="0.35">
      <c r="F37" s="47"/>
      <c r="G37" s="47"/>
      <c r="H37" s="47"/>
      <c r="I37" s="47"/>
    </row>
    <row r="38" spans="6:9" customFormat="1" ht="14.5" x14ac:dyDescent="0.35">
      <c r="F38" s="47"/>
      <c r="G38" s="47"/>
      <c r="H38" s="47"/>
      <c r="I38" s="47"/>
    </row>
    <row r="39" spans="6:9" customFormat="1" ht="14.5" x14ac:dyDescent="0.35">
      <c r="F39" s="47"/>
      <c r="G39" s="47"/>
      <c r="H39" s="47"/>
      <c r="I39" s="47"/>
    </row>
    <row r="40" spans="6:9" customFormat="1" ht="14.5" x14ac:dyDescent="0.35">
      <c r="F40" s="47"/>
      <c r="G40" s="47"/>
      <c r="H40" s="47"/>
      <c r="I40" s="47"/>
    </row>
    <row r="41" spans="6:9" ht="15" customHeight="1" x14ac:dyDescent="0.35">
      <c r="F41" s="47"/>
      <c r="G41" s="47"/>
      <c r="H41" s="47"/>
      <c r="I41" s="47"/>
    </row>
    <row r="42" spans="6:9" ht="15" customHeight="1" x14ac:dyDescent="0.35">
      <c r="F42" s="47"/>
      <c r="G42" s="47"/>
      <c r="H42" s="47"/>
      <c r="I42" s="47"/>
    </row>
    <row r="43" spans="6:9" ht="15" customHeight="1" x14ac:dyDescent="0.35">
      <c r="F43" s="47"/>
      <c r="G43" s="47"/>
      <c r="H43" s="47"/>
      <c r="I43" s="47"/>
    </row>
    <row r="44" spans="6:9" ht="15" customHeight="1" x14ac:dyDescent="0.35">
      <c r="F44" s="47"/>
      <c r="G44" s="47"/>
      <c r="H44" s="47"/>
      <c r="I44" s="47"/>
    </row>
    <row r="45" spans="6:9" ht="15" customHeight="1" x14ac:dyDescent="0.35">
      <c r="F45" s="47"/>
      <c r="G45" s="47"/>
      <c r="H45" s="47"/>
      <c r="I45" s="47"/>
    </row>
    <row r="46" spans="6:9" ht="15" customHeight="1" x14ac:dyDescent="0.35">
      <c r="F46" s="47"/>
      <c r="G46" s="47"/>
      <c r="H46" s="47"/>
      <c r="I46" s="47"/>
    </row>
    <row r="47" spans="6:9" ht="15" customHeight="1" x14ac:dyDescent="0.35">
      <c r="F47" s="29"/>
      <c r="H47" s="3"/>
      <c r="I47" s="3"/>
    </row>
    <row r="51" spans="1:10" customFormat="1" ht="14.5" x14ac:dyDescent="0.35">
      <c r="A51" s="8"/>
      <c r="B51" s="8"/>
      <c r="C51" s="8"/>
      <c r="D51" s="8"/>
      <c r="E51" s="8"/>
      <c r="F51" s="8"/>
      <c r="G51" s="8"/>
      <c r="H51" s="8"/>
      <c r="I51" s="8"/>
      <c r="J51" s="8"/>
    </row>
    <row r="62" spans="1:10" ht="15" customHeight="1" x14ac:dyDescent="0.35">
      <c r="A62" s="31" t="s">
        <v>106</v>
      </c>
      <c r="B62" s="31"/>
      <c r="C62" s="31"/>
      <c r="D62" s="31"/>
      <c r="E62" s="31"/>
      <c r="F62" s="31"/>
      <c r="G62" s="31"/>
      <c r="H62" s="31"/>
      <c r="I62" s="3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39997558519241921"/>
  </sheetPr>
  <dimension ref="A1:U240"/>
  <sheetViews>
    <sheetView showGridLines="0" zoomScale="80" zoomScaleNormal="80" workbookViewId="0">
      <pane ySplit="3" topLeftCell="A4" activePane="bottomLeft" state="frozen"/>
      <selection pane="bottomLeft"/>
    </sheetView>
  </sheetViews>
  <sheetFormatPr defaultColWidth="0" defaultRowHeight="14.5" x14ac:dyDescent="0.35"/>
  <cols>
    <col min="1" max="5" width="2.54296875" customWidth="1"/>
    <col min="6" max="6" width="27.81640625" bestFit="1" customWidth="1"/>
    <col min="7" max="7" width="134.453125" bestFit="1" customWidth="1"/>
    <col min="8" max="8" width="2.54296875" customWidth="1"/>
    <col min="9" max="9" width="59.54296875" hidden="1" customWidth="1"/>
    <col min="10" max="20" width="15.453125" hidden="1" customWidth="1"/>
    <col min="21" max="21" width="2.54296875" hidden="1" customWidth="1"/>
    <col min="22" max="16384" width="9.453125" hidden="1"/>
  </cols>
  <sheetData>
    <row r="1" spans="1:7" s="1" customFormat="1" x14ac:dyDescent="0.35">
      <c r="A1" s="1" t="str">
        <f ca="1">MID(CELL("filename",A1),FIND("]",CELL("filename",A1))+1,255)</f>
        <v>Index</v>
      </c>
    </row>
    <row r="2" spans="1:7" s="1" customFormat="1" x14ac:dyDescent="0.35">
      <c r="A2" s="1" t="str">
        <f>Cover!D21&amp;" - "&amp;Cover!D23</f>
        <v>Southern Electric Power Distribution - Final</v>
      </c>
    </row>
    <row r="3" spans="1:7" s="5" customFormat="1" x14ac:dyDescent="0.35">
      <c r="A3" s="5" t="str">
        <f>Cover!D2&amp;" - "&amp;Cover!D8&amp;" v"&amp;Cover!D10&amp;" - "&amp;Cover!D19</f>
        <v>CDCM charging model - Release for charge setting v9 - 2024/25</v>
      </c>
    </row>
    <row r="5" spans="1:7" x14ac:dyDescent="0.35">
      <c r="B5" s="25" t="s">
        <v>10</v>
      </c>
      <c r="C5" s="25"/>
      <c r="D5" s="25"/>
      <c r="E5" s="25"/>
      <c r="F5" s="25"/>
      <c r="G5" s="25"/>
    </row>
    <row r="7" spans="1:7" x14ac:dyDescent="0.35">
      <c r="C7" s="24" t="s">
        <v>108</v>
      </c>
    </row>
    <row r="8" spans="1:7" x14ac:dyDescent="0.35">
      <c r="C8" s="24" t="s">
        <v>109</v>
      </c>
    </row>
    <row r="10" spans="1:7" x14ac:dyDescent="0.35">
      <c r="B10" s="25" t="s">
        <v>110</v>
      </c>
      <c r="C10" s="25"/>
      <c r="D10" s="25"/>
      <c r="E10" s="25"/>
      <c r="F10" s="25"/>
      <c r="G10" s="25"/>
    </row>
    <row r="12" spans="1:7" x14ac:dyDescent="0.35">
      <c r="C12" s="24" t="s">
        <v>111</v>
      </c>
    </row>
    <row r="14" spans="1:7" ht="15" thickBot="1" x14ac:dyDescent="0.4">
      <c r="F14" s="307" t="s">
        <v>112</v>
      </c>
      <c r="G14" s="276" t="s">
        <v>113</v>
      </c>
    </row>
    <row r="15" spans="1:7" ht="15.5" thickTop="1" thickBot="1" x14ac:dyDescent="0.4">
      <c r="F15" s="278" t="s">
        <v>114</v>
      </c>
    </row>
    <row r="16" spans="1:7" ht="15" thickTop="1" x14ac:dyDescent="0.35">
      <c r="F16" s="278" t="s">
        <v>115</v>
      </c>
      <c r="G16" s="48" t="str">
        <f>'Version control'!$B$5</f>
        <v>Model version</v>
      </c>
    </row>
    <row r="17" spans="6:7" x14ac:dyDescent="0.35">
      <c r="F17" s="277" t="s">
        <v>116</v>
      </c>
      <c r="G17" s="48" t="str">
        <f>'Version control'!$B$17</f>
        <v>Version log</v>
      </c>
    </row>
    <row r="18" spans="6:7" x14ac:dyDescent="0.35">
      <c r="F18" s="277" t="s">
        <v>116</v>
      </c>
      <c r="G18" s="48" t="str">
        <f>'Version control'!$B$35</f>
        <v>Model checks</v>
      </c>
    </row>
    <row r="19" spans="6:7" ht="15" thickBot="1" x14ac:dyDescent="0.4">
      <c r="F19" s="277" t="s">
        <v>116</v>
      </c>
      <c r="G19" s="48" t="str">
        <f>'Version control'!$B$64</f>
        <v>Version log lists</v>
      </c>
    </row>
    <row r="20" spans="6:7" ht="15.5" thickTop="1" thickBot="1" x14ac:dyDescent="0.4">
      <c r="F20" s="278" t="s">
        <v>107</v>
      </c>
      <c r="G20" s="48" t="str">
        <f>'Model map'!$B$5</f>
        <v>Model map</v>
      </c>
    </row>
    <row r="21" spans="6:7" ht="15.5" thickTop="1" thickBot="1" x14ac:dyDescent="0.4">
      <c r="F21" s="278" t="s">
        <v>117</v>
      </c>
      <c r="G21" s="48" t="str">
        <f>'Named ranges'!$B$5</f>
        <v>List of named ranges</v>
      </c>
    </row>
    <row r="22" spans="6:7" ht="15.5" thickTop="1" thickBot="1" x14ac:dyDescent="0.4">
      <c r="F22" s="280" t="s">
        <v>53</v>
      </c>
      <c r="G22" s="48" t="str">
        <f>'Fixed inputs'!$B$11</f>
        <v>Fixed inputs</v>
      </c>
    </row>
    <row r="23" spans="6:7" ht="15.5" thickTop="1" thickBot="1" x14ac:dyDescent="0.4">
      <c r="F23" s="280" t="s">
        <v>56</v>
      </c>
      <c r="G23" s="48" t="str">
        <f>'Inputs by customer type'!$B$11</f>
        <v>Inputs by customer type</v>
      </c>
    </row>
    <row r="24" spans="6:7" ht="15.5" thickTop="1" thickBot="1" x14ac:dyDescent="0.4">
      <c r="F24" s="280" t="s">
        <v>58</v>
      </c>
      <c r="G24" s="48" t="str">
        <f>'Inputs by network level'!$B$11</f>
        <v>Inputs by network level</v>
      </c>
    </row>
    <row r="25" spans="6:7" ht="15.5" thickTop="1" thickBot="1" x14ac:dyDescent="0.4">
      <c r="F25" s="280" t="s">
        <v>60</v>
      </c>
      <c r="G25" s="48" t="str">
        <f>'General inputs'!$B$11</f>
        <v>General inputs</v>
      </c>
    </row>
    <row r="26" spans="6:7" ht="15.5" thickTop="1" thickBot="1" x14ac:dyDescent="0.4">
      <c r="F26" s="282" t="s">
        <v>120</v>
      </c>
      <c r="G26" s="48" t="str">
        <f>'Standing charge factors'!$B$17</f>
        <v>Adjustments to standing charges</v>
      </c>
    </row>
    <row r="27" spans="6:7" ht="15" thickTop="1" x14ac:dyDescent="0.35">
      <c r="F27" s="282" t="s">
        <v>64</v>
      </c>
      <c r="G27" s="48" t="str">
        <f>'Load &amp; loss characteristics'!$B$13</f>
        <v>Load and loss characteristics</v>
      </c>
    </row>
    <row r="28" spans="6:7" ht="15" thickBot="1" x14ac:dyDescent="0.4">
      <c r="F28" s="281" t="s">
        <v>116</v>
      </c>
      <c r="G28" s="48" t="str">
        <f>'Load &amp; loss characteristics'!$B$31</f>
        <v>User loss factor adjustments</v>
      </c>
    </row>
    <row r="29" spans="6:7" ht="15.5" thickTop="1" thickBot="1" x14ac:dyDescent="0.4">
      <c r="F29" s="282" t="s">
        <v>66</v>
      </c>
      <c r="G29" s="48" t="str">
        <f>'Customer contributions'!$B$12</f>
        <v>Customer contributions</v>
      </c>
    </row>
    <row r="30" spans="6:7" ht="15" thickTop="1" x14ac:dyDescent="0.35">
      <c r="F30" s="282" t="s">
        <v>68</v>
      </c>
      <c r="G30" s="48" t="str">
        <f>'Volume adjustments'!$B$13</f>
        <v>LDNO discounts</v>
      </c>
    </row>
    <row r="31" spans="6:7" x14ac:dyDescent="0.35">
      <c r="F31" s="281" t="s">
        <v>116</v>
      </c>
      <c r="G31" s="48" t="str">
        <f>'Volume adjustments'!$B$51</f>
        <v>Volume discounting</v>
      </c>
    </row>
    <row r="32" spans="6:7" ht="15" thickBot="1" x14ac:dyDescent="0.4">
      <c r="F32" s="281" t="s">
        <v>116</v>
      </c>
      <c r="G32" s="48" t="str">
        <f>'Volume adjustments'!$B$310</f>
        <v>Volume discounting for revenue matching</v>
      </c>
    </row>
    <row r="33" spans="6:7" ht="15" thickTop="1" x14ac:dyDescent="0.35">
      <c r="F33" s="282" t="s">
        <v>70</v>
      </c>
      <c r="G33" s="48" t="str">
        <f>'Pseudo-load coefficients'!$B$13</f>
        <v>Step 1: Ratio of coincidence to load factor assuming units evenly spread within time bands, and peak falls in Red period</v>
      </c>
    </row>
    <row r="34" spans="6:7" x14ac:dyDescent="0.35">
      <c r="F34" s="281" t="s">
        <v>116</v>
      </c>
      <c r="G34" s="48" t="str">
        <f>'Pseudo-load coefficients'!$B$56</f>
        <v>Step 2: Calculate correction factor</v>
      </c>
    </row>
    <row r="35" spans="6:7" x14ac:dyDescent="0.35">
      <c r="F35" s="281" t="s">
        <v>116</v>
      </c>
      <c r="G35" s="48" t="str">
        <f>'Pseudo-load coefficients'!$B$95</f>
        <v>Step 3: Ratio of coincidence factor (to network asset peak) to load factor, given peaking probabilities, multiplied by correction factor</v>
      </c>
    </row>
    <row r="36" spans="6:7" ht="15" thickBot="1" x14ac:dyDescent="0.4">
      <c r="F36" s="281" t="s">
        <v>116</v>
      </c>
      <c r="G36" s="48" t="str">
        <f>'Pseudo-load coefficients'!$B$261</f>
        <v>Step 4: Results of Step 3</v>
      </c>
    </row>
    <row r="37" spans="6:7" ht="15" thickTop="1" x14ac:dyDescent="0.35">
      <c r="F37" s="282" t="s">
        <v>72</v>
      </c>
      <c r="G37" s="48" t="str">
        <f>'System peak demand'!$B$16</f>
        <v>Common inputs for chargeable load calculations</v>
      </c>
    </row>
    <row r="38" spans="6:7" x14ac:dyDescent="0.35">
      <c r="F38" s="281" t="s">
        <v>116</v>
      </c>
      <c r="G38" s="48" t="str">
        <f>'System peak demand'!$B$63</f>
        <v>Load at system peak charged to unit rates</v>
      </c>
    </row>
    <row r="39" spans="6:7" x14ac:dyDescent="0.35">
      <c r="F39" s="281" t="s">
        <v>116</v>
      </c>
      <c r="G39" s="48" t="str">
        <f>'System peak demand'!$B$179</f>
        <v>Load at system peak charged to standing charges</v>
      </c>
    </row>
    <row r="40" spans="6:7" ht="15" thickBot="1" x14ac:dyDescent="0.4">
      <c r="F40" s="281" t="s">
        <v>116</v>
      </c>
      <c r="G40" s="48" t="str">
        <f>'System peak demand'!$B$262</f>
        <v>System peak based on chargeable load</v>
      </c>
    </row>
    <row r="41" spans="6:7" ht="15.5" thickTop="1" thickBot="1" x14ac:dyDescent="0.4">
      <c r="F41" s="282" t="s">
        <v>74</v>
      </c>
      <c r="G41" s="48" t="str">
        <f>'Service model assets'!$B$12</f>
        <v>Service model notional asset values</v>
      </c>
    </row>
    <row r="42" spans="6:7" ht="15" thickTop="1" x14ac:dyDescent="0.35">
      <c r="F42" s="282" t="s">
        <v>76</v>
      </c>
      <c r="G42" s="48" t="str">
        <f>'Unit costs'!$B$15</f>
        <v>500MW model costs</v>
      </c>
    </row>
    <row r="43" spans="6:7" x14ac:dyDescent="0.35">
      <c r="F43" s="281" t="s">
        <v>116</v>
      </c>
      <c r="G43" s="48" t="str">
        <f>'Unit costs'!$B$58</f>
        <v>Allocation of other costs</v>
      </c>
    </row>
    <row r="44" spans="6:7" ht="15" thickBot="1" x14ac:dyDescent="0.4">
      <c r="F44" s="281" t="s">
        <v>116</v>
      </c>
      <c r="G44" s="48" t="str">
        <f>'Unit costs'!$B$102</f>
        <v>Outputs</v>
      </c>
    </row>
    <row r="45" spans="6:7" ht="15" thickTop="1" x14ac:dyDescent="0.35">
      <c r="F45" s="282" t="s">
        <v>78</v>
      </c>
      <c r="G45" s="48" t="str">
        <f>'Initial unit rates'!$B$11</f>
        <v>Inputs for yardstick and unit rate calculations</v>
      </c>
    </row>
    <row r="46" spans="6:7" ht="15" thickBot="1" x14ac:dyDescent="0.4">
      <c r="F46" s="281" t="s">
        <v>116</v>
      </c>
      <c r="G46" s="48" t="str">
        <f>'Initial unit rates'!$B$116</f>
        <v>Calculation of yardstick &amp; unit rate charges</v>
      </c>
    </row>
    <row r="47" spans="6:7" ht="15" thickTop="1" x14ac:dyDescent="0.35">
      <c r="F47" s="282" t="s">
        <v>80</v>
      </c>
      <c r="G47" s="48" t="str">
        <f>'Service model charges'!$B$13</f>
        <v>Inputs to service model charge calculation</v>
      </c>
    </row>
    <row r="48" spans="6:7" ht="15" thickBot="1" x14ac:dyDescent="0.4">
      <c r="F48" s="281" t="s">
        <v>116</v>
      </c>
      <c r="G48" s="48" t="str">
        <f>'Service model charges'!$B$29</f>
        <v>Allocation of service model costs</v>
      </c>
    </row>
    <row r="49" spans="6:7" ht="15" thickTop="1" x14ac:dyDescent="0.35">
      <c r="F49" s="282" t="s">
        <v>82</v>
      </c>
      <c r="G49" s="48" t="str">
        <f>'Unit rate charges'!$B$15</f>
        <v>Inputs to unit rate charge calculations</v>
      </c>
    </row>
    <row r="50" spans="6:7" ht="15" thickBot="1" x14ac:dyDescent="0.4">
      <c r="F50" s="281" t="s">
        <v>116</v>
      </c>
      <c r="G50" s="48" t="str">
        <f>'Unit rate charges'!$B$122</f>
        <v>Application of standing charges to unit rates</v>
      </c>
    </row>
    <row r="51" spans="6:7" ht="15" thickTop="1" x14ac:dyDescent="0.35">
      <c r="F51" s="282" t="s">
        <v>86</v>
      </c>
      <c r="G51" s="48" t="str">
        <f>'Capacity charges'!$B$17</f>
        <v>Inputs to capacity charge calculations</v>
      </c>
    </row>
    <row r="52" spans="6:7" x14ac:dyDescent="0.35">
      <c r="F52" s="281" t="s">
        <v>116</v>
      </c>
      <c r="G52" s="48" t="str">
        <f>'Capacity charges'!$B$125</f>
        <v>Calculation of capacity charges</v>
      </c>
    </row>
    <row r="53" spans="6:7" ht="15" thickBot="1" x14ac:dyDescent="0.4">
      <c r="F53" s="281" t="s">
        <v>116</v>
      </c>
      <c r="G53" s="48" t="str">
        <f>'Capacity charges'!$B$249</f>
        <v>Capacity charges (and elements allocated to fixed charges)</v>
      </c>
    </row>
    <row r="54" spans="6:7" ht="15" thickTop="1" x14ac:dyDescent="0.35">
      <c r="F54" s="282" t="s">
        <v>84</v>
      </c>
      <c r="G54" s="48" t="str">
        <f>'Reactive power charges'!$B$13</f>
        <v>Inputs to reactive power charge calculations</v>
      </c>
    </row>
    <row r="55" spans="6:7" x14ac:dyDescent="0.35">
      <c r="F55" s="281" t="s">
        <v>116</v>
      </c>
      <c r="G55" s="48" t="str">
        <f>'Reactive power charges'!$B$150</f>
        <v>Calculation of yardstick charges for generation</v>
      </c>
    </row>
    <row r="56" spans="6:7" ht="15" thickBot="1" x14ac:dyDescent="0.4">
      <c r="F56" s="281" t="s">
        <v>116</v>
      </c>
      <c r="G56" s="48" t="str">
        <f>'Reactive power charges'!$B$185</f>
        <v>Calculation of reactive power charges</v>
      </c>
    </row>
    <row r="57" spans="6:7" ht="15" thickTop="1" x14ac:dyDescent="0.35">
      <c r="F57" s="282" t="s">
        <v>88</v>
      </c>
      <c r="G57" s="48" t="str">
        <f>'Fixed charges'!$B$14</f>
        <v>Inputs to fixed charge calculations</v>
      </c>
    </row>
    <row r="58" spans="6:7" ht="15" thickBot="1" x14ac:dyDescent="0.4">
      <c r="F58" s="281" t="s">
        <v>116</v>
      </c>
      <c r="G58" s="48" t="str">
        <f>'Fixed charges'!$B$65</f>
        <v>Calculation of fixed charges</v>
      </c>
    </row>
    <row r="59" spans="6:7" ht="15.5" thickTop="1" thickBot="1" x14ac:dyDescent="0.4">
      <c r="F59" s="282" t="s">
        <v>1150</v>
      </c>
      <c r="G59" s="48" t="str">
        <f>'SoLR &amp; bad debt adders'!$B$12</f>
        <v>Fixed tariff adjustments</v>
      </c>
    </row>
    <row r="60" spans="6:7" ht="15" thickTop="1" x14ac:dyDescent="0.35">
      <c r="F60" s="282" t="s">
        <v>90</v>
      </c>
      <c r="G60" s="48" t="str">
        <f>'Revenue matching'!$B$13</f>
        <v>Pre-matching net revenue calculations</v>
      </c>
    </row>
    <row r="61" spans="6:7" x14ac:dyDescent="0.35">
      <c r="F61" s="281" t="s">
        <v>116</v>
      </c>
      <c r="G61" s="48" t="str">
        <f>'Revenue matching'!$B$87</f>
        <v>Residual charge calculation</v>
      </c>
    </row>
    <row r="62" spans="6:7" x14ac:dyDescent="0.35">
      <c r="F62" s="281" t="s">
        <v>116</v>
      </c>
      <c r="G62" s="48" t="str">
        <f>'Revenue matching'!$B$210</f>
        <v>Adjustments for negative fixed charges</v>
      </c>
    </row>
    <row r="63" spans="6:7" ht="15" thickBot="1" x14ac:dyDescent="0.4">
      <c r="F63" s="281" t="s">
        <v>116</v>
      </c>
      <c r="G63" s="48" t="str">
        <f>'Revenue matching'!$B$408</f>
        <v>Final adders</v>
      </c>
    </row>
    <row r="64" spans="6:7" ht="15" thickTop="1" x14ac:dyDescent="0.35">
      <c r="F64" s="282" t="s">
        <v>92</v>
      </c>
      <c r="G64" s="48" t="str">
        <f>Rounding!$B$12</f>
        <v>Inputs</v>
      </c>
    </row>
    <row r="65" spans="2:7" ht="15" thickBot="1" x14ac:dyDescent="0.4">
      <c r="F65" s="281" t="s">
        <v>116</v>
      </c>
      <c r="G65" s="48" t="str">
        <f>Rounding!$B$103</f>
        <v>Rounding of tariff forecast</v>
      </c>
    </row>
    <row r="66" spans="2:7" ht="15" thickTop="1" x14ac:dyDescent="0.35">
      <c r="F66" s="282" t="s">
        <v>94</v>
      </c>
      <c r="G66" s="48" t="str">
        <f>'Net revenue summary'!$B$11</f>
        <v>Inputs to net revenue summary calculation</v>
      </c>
    </row>
    <row r="67" spans="2:7" x14ac:dyDescent="0.35">
      <c r="F67" s="281" t="s">
        <v>116</v>
      </c>
      <c r="G67" s="48" t="str">
        <f>'Net revenue summary'!$B$90</f>
        <v>Typical bills</v>
      </c>
    </row>
    <row r="68" spans="2:7" x14ac:dyDescent="0.35">
      <c r="F68" s="281" t="s">
        <v>116</v>
      </c>
      <c r="G68" s="48" t="str">
        <f>'Net revenue summary'!$B$150</f>
        <v>Comparison with previous year</v>
      </c>
    </row>
    <row r="69" spans="2:7" ht="15" thickBot="1" x14ac:dyDescent="0.4">
      <c r="F69" s="281" t="s">
        <v>116</v>
      </c>
      <c r="G69" s="48" t="str">
        <f>'Net revenue summary'!$B$176</f>
        <v>LDNO margins</v>
      </c>
    </row>
    <row r="70" spans="2:7" ht="15.5" thickTop="1" thickBot="1" x14ac:dyDescent="0.4">
      <c r="F70" s="284" t="s">
        <v>96</v>
      </c>
      <c r="G70" s="48" t="str">
        <f>'Tariff summary'!$B$11</f>
        <v>Tariff summary</v>
      </c>
    </row>
    <row r="71" spans="2:7" ht="15" thickTop="1" x14ac:dyDescent="0.35">
      <c r="F71" s="284" t="s">
        <v>98</v>
      </c>
      <c r="G71" s="48" t="str">
        <f>'Output to other models'!$B$12</f>
        <v>Outputs for PCDM</v>
      </c>
    </row>
    <row r="72" spans="2:7" x14ac:dyDescent="0.35">
      <c r="F72" s="283" t="s">
        <v>116</v>
      </c>
      <c r="G72" s="48" t="str">
        <f>'Output to other models'!$B$31</f>
        <v>Outputs for EDCM</v>
      </c>
    </row>
    <row r="73" spans="2:7" x14ac:dyDescent="0.35">
      <c r="F73" s="283" t="s">
        <v>116</v>
      </c>
      <c r="G73" s="48" t="str">
        <f>'Output to other models'!$B$61</f>
        <v>Outputs for users' internal use</v>
      </c>
    </row>
    <row r="75" spans="2:7" x14ac:dyDescent="0.35">
      <c r="B75" s="25" t="s">
        <v>118</v>
      </c>
      <c r="C75" s="25"/>
      <c r="D75" s="25"/>
      <c r="E75" s="25"/>
      <c r="F75" s="25"/>
      <c r="G75" s="25"/>
    </row>
    <row r="77" spans="2:7" x14ac:dyDescent="0.35">
      <c r="C77" s="24" t="s">
        <v>119</v>
      </c>
    </row>
    <row r="79" spans="2:7" ht="15" thickBot="1" x14ac:dyDescent="0.4">
      <c r="F79" s="307" t="s">
        <v>112</v>
      </c>
      <c r="G79" s="276" t="s">
        <v>113</v>
      </c>
    </row>
    <row r="80" spans="2:7" ht="15" thickTop="1" x14ac:dyDescent="0.35">
      <c r="F80" s="280" t="s">
        <v>53</v>
      </c>
      <c r="G80" s="48" t="str">
        <f ca="1">'Fixed inputs'!$C$13</f>
        <v>Input 101-A: Conversions and time</v>
      </c>
    </row>
    <row r="81" spans="6:7" x14ac:dyDescent="0.35">
      <c r="F81" s="279" t="s">
        <v>116</v>
      </c>
      <c r="G81" s="48" t="str">
        <f ca="1">'Fixed inputs'!$C$20</f>
        <v>Input 101-B: Input 101-B: Rounding</v>
      </c>
    </row>
    <row r="82" spans="6:7" x14ac:dyDescent="0.35">
      <c r="F82" s="279" t="s">
        <v>116</v>
      </c>
      <c r="G82" s="48" t="str">
        <f ca="1">'Fixed inputs'!$C$33</f>
        <v>Input 101-C: Financial and general assumptions</v>
      </c>
    </row>
    <row r="83" spans="6:7" x14ac:dyDescent="0.35">
      <c r="F83" s="279" t="s">
        <v>116</v>
      </c>
      <c r="G83" s="48" t="str">
        <f ca="1">'Fixed inputs'!$C$43</f>
        <v>Input 101-D: Mappings</v>
      </c>
    </row>
    <row r="84" spans="6:7" x14ac:dyDescent="0.35">
      <c r="F84" s="279" t="s">
        <v>116</v>
      </c>
      <c r="G84" s="48" t="str">
        <f ca="1">'Fixed inputs'!$C$84</f>
        <v>Input 101-E: Standing charge factors</v>
      </c>
    </row>
    <row r="85" spans="6:7" x14ac:dyDescent="0.35">
      <c r="F85" s="279" t="s">
        <v>116</v>
      </c>
      <c r="G85" s="48" t="str">
        <f ca="1">'Fixed inputs'!$C$99</f>
        <v>Input 101-F: Flags</v>
      </c>
    </row>
    <row r="86" spans="6:7" x14ac:dyDescent="0.35">
      <c r="F86" s="279" t="s">
        <v>116</v>
      </c>
      <c r="G86" s="48" t="str">
        <f ca="1">'Fixed inputs'!$C$141</f>
        <v>Input 101-G: Identifiers for customer groupings</v>
      </c>
    </row>
    <row r="87" spans="6:7" x14ac:dyDescent="0.35">
      <c r="F87" s="279" t="s">
        <v>116</v>
      </c>
      <c r="G87" s="48" t="str">
        <f ca="1">'Fixed inputs'!$C$151</f>
        <v>Input 101-H: Decimal places for error checks</v>
      </c>
    </row>
    <row r="88" spans="6:7" x14ac:dyDescent="0.35">
      <c r="F88" s="279" t="s">
        <v>116</v>
      </c>
      <c r="G88" s="48" t="str">
        <f ca="1">'Fixed inputs'!$C$155</f>
        <v>Input 101-I: Map of applicable MPANs</v>
      </c>
    </row>
    <row r="89" spans="6:7" ht="15" thickBot="1" x14ac:dyDescent="0.4">
      <c r="F89" s="279" t="s">
        <v>116</v>
      </c>
      <c r="G89" s="48" t="str">
        <f ca="1">'Fixed inputs'!$C$162</f>
        <v>Input 101-J: Revenue matching inputs</v>
      </c>
    </row>
    <row r="90" spans="6:7" ht="15" thickTop="1" x14ac:dyDescent="0.35">
      <c r="F90" s="280" t="s">
        <v>56</v>
      </c>
      <c r="G90" s="48" t="str">
        <f ca="1">'Inputs by customer type'!$C$13</f>
        <v>Input 102-A: Load characteristics</v>
      </c>
    </row>
    <row r="91" spans="6:7" x14ac:dyDescent="0.35">
      <c r="F91" s="279" t="s">
        <v>116</v>
      </c>
      <c r="G91" s="48" t="str">
        <f ca="1">'Inputs by customer type'!$C$18</f>
        <v>Input 102-B: Volume forecasts for the charging year</v>
      </c>
    </row>
    <row r="92" spans="6:7" x14ac:dyDescent="0.35">
      <c r="F92" s="279" t="s">
        <v>116</v>
      </c>
      <c r="G92" s="48" t="str">
        <f ca="1">'Inputs by customer type'!$C$163</f>
        <v>Input 102-C: Non-Domestic Aggregated (Related MPAN) distribution by bands</v>
      </c>
    </row>
    <row r="93" spans="6:7" x14ac:dyDescent="0.35">
      <c r="F93" s="279" t="s">
        <v>116</v>
      </c>
      <c r="G93" s="48" t="str">
        <f ca="1">'Inputs by customer type'!$C$183</f>
        <v>Input 102-D: Service model asset values</v>
      </c>
    </row>
    <row r="94" spans="6:7" x14ac:dyDescent="0.35">
      <c r="F94" s="279" t="s">
        <v>116</v>
      </c>
      <c r="G94" s="48" t="str">
        <f ca="1">'Inputs by customer type'!$C$192</f>
        <v>Input 102-E: Previous year all-the-way tariff forecast</v>
      </c>
    </row>
    <row r="95" spans="6:7" ht="15" thickBot="1" x14ac:dyDescent="0.4">
      <c r="F95" s="279" t="s">
        <v>116</v>
      </c>
      <c r="G95" s="48" t="str">
        <f ca="1">'Inputs by customer type'!$C$206</f>
        <v>Input 102-F: Previous year net revenue (if known)</v>
      </c>
    </row>
    <row r="96" spans="6:7" ht="15" thickTop="1" x14ac:dyDescent="0.35">
      <c r="F96" s="280" t="s">
        <v>58</v>
      </c>
      <c r="G96" s="48" t="str">
        <f ca="1">'Inputs by network level'!$C$13</f>
        <v>Input 103-A: Network and load inputs</v>
      </c>
    </row>
    <row r="97" spans="6:7" x14ac:dyDescent="0.35">
      <c r="F97" s="279" t="s">
        <v>116</v>
      </c>
      <c r="G97" s="48" t="str">
        <f ca="1">'Inputs by network level'!$C$23</f>
        <v>Input 103-B: Customer contributions under current connection charging policy</v>
      </c>
    </row>
    <row r="98" spans="6:7" x14ac:dyDescent="0.35">
      <c r="F98" s="279" t="s">
        <v>116</v>
      </c>
      <c r="G98" s="48" t="str">
        <f ca="1">'Inputs by network level'!$C$31</f>
        <v>Input 103-C: DRM asset costs</v>
      </c>
    </row>
    <row r="99" spans="6:7" ht="15" thickBot="1" x14ac:dyDescent="0.4">
      <c r="F99" s="279" t="s">
        <v>116</v>
      </c>
      <c r="G99" s="48" t="str">
        <f ca="1">'Inputs by network level'!$C$35</f>
        <v>Input 103-D: Peaking probabilities by network level</v>
      </c>
    </row>
    <row r="100" spans="6:7" ht="15" thickTop="1" x14ac:dyDescent="0.35">
      <c r="F100" s="280" t="s">
        <v>60</v>
      </c>
      <c r="G100" s="48" t="str">
        <f ca="1">'General inputs'!$C$13</f>
        <v>Input 104-A: Inputs by distribution timeband</v>
      </c>
    </row>
    <row r="101" spans="6:7" x14ac:dyDescent="0.35">
      <c r="F101" s="279" t="s">
        <v>116</v>
      </c>
      <c r="G101" s="48" t="str">
        <f ca="1">'General inputs'!$C$25</f>
        <v>Input 104-B: LDNO discount inputs</v>
      </c>
    </row>
    <row r="102" spans="6:7" x14ac:dyDescent="0.35">
      <c r="F102" s="279" t="s">
        <v>116</v>
      </c>
      <c r="G102" s="48" t="str">
        <f ca="1">'General inputs'!$C$35</f>
        <v>Input 104-C: CDCM target revenue</v>
      </c>
    </row>
    <row r="103" spans="6:7" x14ac:dyDescent="0.35">
      <c r="F103" s="279" t="s">
        <v>116</v>
      </c>
      <c r="G103" s="48" t="str">
        <f ca="1">'General inputs'!$C$90</f>
        <v>Input 104-D: Financial and general assumptions</v>
      </c>
    </row>
    <row r="104" spans="6:7" x14ac:dyDescent="0.35">
      <c r="F104" s="279" t="s">
        <v>116</v>
      </c>
      <c r="G104" s="48" t="str">
        <f ca="1">'General inputs'!$C$96</f>
        <v>Input 104-E: Transmission exit charges</v>
      </c>
    </row>
    <row r="105" spans="6:7" ht="15" thickBot="1" x14ac:dyDescent="0.4">
      <c r="F105" s="279" t="s">
        <v>116</v>
      </c>
      <c r="G105" s="48" t="str">
        <f ca="1">'General inputs'!$C$100</f>
        <v>Input 104-F: Other expenditure</v>
      </c>
    </row>
    <row r="106" spans="6:7" ht="15.5" thickTop="1" thickBot="1" x14ac:dyDescent="0.4">
      <c r="F106" s="282" t="s">
        <v>120</v>
      </c>
      <c r="G106" s="48" t="str">
        <f ca="1">'Standing charge factors'!$C$19</f>
        <v>Section 101-A: Adjustments to standing charges</v>
      </c>
    </row>
    <row r="107" spans="6:7" ht="15" thickTop="1" x14ac:dyDescent="0.35">
      <c r="F107" s="282" t="s">
        <v>64</v>
      </c>
      <c r="G107" s="48" t="str">
        <f ca="1">'Load &amp; loss characteristics'!$C$17</f>
        <v>Section 102-A: Load characteristics</v>
      </c>
    </row>
    <row r="108" spans="6:7" x14ac:dyDescent="0.35">
      <c r="F108" s="281" t="s">
        <v>116</v>
      </c>
      <c r="G108" s="48" t="str">
        <f ca="1">'Load &amp; loss characteristics'!$C$25</f>
        <v>Section 102-B: Loss adjustment factors</v>
      </c>
    </row>
    <row r="109" spans="6:7" x14ac:dyDescent="0.35">
      <c r="F109" s="281" t="s">
        <v>116</v>
      </c>
      <c r="G109" s="48" t="str">
        <f ca="1">'Load &amp; loss characteristics'!$C$35</f>
        <v>Section 102-C: Proportion of relevant load going through 132kV/HV direct transformation</v>
      </c>
    </row>
    <row r="110" spans="6:7" x14ac:dyDescent="0.35">
      <c r="F110" s="281" t="s">
        <v>116</v>
      </c>
      <c r="G110" s="48" t="str">
        <f ca="1">'Load &amp; loss characteristics'!$C$40</f>
        <v>Section 102-D: Network use factors</v>
      </c>
    </row>
    <row r="111" spans="6:7" ht="15" thickBot="1" x14ac:dyDescent="0.4">
      <c r="F111" s="281" t="s">
        <v>116</v>
      </c>
      <c r="G111" s="48" t="str">
        <f ca="1">'Load &amp; loss characteristics'!$C$121</f>
        <v>Section 102-E: User loss factors</v>
      </c>
    </row>
    <row r="112" spans="6:7" ht="15" thickTop="1" x14ac:dyDescent="0.35">
      <c r="F112" s="282" t="s">
        <v>66</v>
      </c>
      <c r="G112" s="48" t="str">
        <f ca="1">'Customer contributions'!$C$16</f>
        <v>Section 103-A: Network use factors</v>
      </c>
    </row>
    <row r="113" spans="6:7" ht="15" thickBot="1" x14ac:dyDescent="0.4">
      <c r="F113" s="281" t="s">
        <v>116</v>
      </c>
      <c r="G113" s="48" t="str">
        <f ca="1">'Customer contributions'!$C$38</f>
        <v>Section 103-B: Customer contributions</v>
      </c>
    </row>
    <row r="114" spans="6:7" ht="15" thickTop="1" x14ac:dyDescent="0.35">
      <c r="F114" s="282" t="s">
        <v>68</v>
      </c>
      <c r="G114" s="48" t="str">
        <f ca="1">'Volume adjustments'!$C$15</f>
        <v>Section 104-A: LDNO discounts</v>
      </c>
    </row>
    <row r="115" spans="6:7" x14ac:dyDescent="0.35">
      <c r="F115" s="281" t="s">
        <v>116</v>
      </c>
      <c r="G115" s="48" t="str">
        <f ca="1">'Volume adjustments'!$C$53</f>
        <v>Section 104-B: Aggregation of volumes</v>
      </c>
    </row>
    <row r="116" spans="6:7" x14ac:dyDescent="0.35">
      <c r="F116" s="281" t="s">
        <v>116</v>
      </c>
      <c r="G116" s="48" t="str">
        <f ca="1">'Volume adjustments'!$C$225</f>
        <v>Section 104-C: Volume discounting</v>
      </c>
    </row>
    <row r="117" spans="6:7" x14ac:dyDescent="0.35">
      <c r="F117" s="281" t="s">
        <v>116</v>
      </c>
      <c r="G117" s="48" t="str">
        <f ca="1">'Volume adjustments'!$C$332</f>
        <v>Section 104-D: No residual volume discounting</v>
      </c>
    </row>
    <row r="118" spans="6:7" x14ac:dyDescent="0.35">
      <c r="F118" s="281" t="s">
        <v>116</v>
      </c>
      <c r="G118" s="48" t="str">
        <f ca="1">'Volume adjustments'!$C$361</f>
        <v>Section 104-E: Residual band 1 volume discounting</v>
      </c>
    </row>
    <row r="119" spans="6:7" x14ac:dyDescent="0.35">
      <c r="F119" s="281" t="s">
        <v>116</v>
      </c>
      <c r="G119" s="48" t="str">
        <f ca="1">'Volume adjustments'!$C$390</f>
        <v>Section 104-F: Residual band 2 volume discounting</v>
      </c>
    </row>
    <row r="120" spans="6:7" x14ac:dyDescent="0.35">
      <c r="F120" s="281" t="s">
        <v>116</v>
      </c>
      <c r="G120" s="48" t="str">
        <f ca="1">'Volume adjustments'!$C$419</f>
        <v>Section 104-G: Residual band 3 volume discounting</v>
      </c>
    </row>
    <row r="121" spans="6:7" x14ac:dyDescent="0.35">
      <c r="F121" s="281" t="s">
        <v>116</v>
      </c>
      <c r="G121" s="48" t="str">
        <f ca="1">'Volume adjustments'!$C$448</f>
        <v>Section 104-H: Residual band 4 volume discounting</v>
      </c>
    </row>
    <row r="122" spans="6:7" x14ac:dyDescent="0.35">
      <c r="F122" s="281" t="s">
        <v>116</v>
      </c>
      <c r="G122" s="48" t="str">
        <f ca="1">'Volume adjustments'!$C$477</f>
        <v>Section 104-I: Discounted volumes by residual band</v>
      </c>
    </row>
    <row r="123" spans="6:7" x14ac:dyDescent="0.35">
      <c r="F123" s="281" t="s">
        <v>116</v>
      </c>
      <c r="G123" s="48" t="str">
        <f ca="1">'Volume adjustments'!$C$523</f>
        <v>Section 104-J: Volumes by residual band</v>
      </c>
    </row>
    <row r="124" spans="6:7" ht="15" thickBot="1" x14ac:dyDescent="0.4">
      <c r="F124" s="281" t="s">
        <v>116</v>
      </c>
      <c r="G124" s="48" t="str">
        <f ca="1">'Volume adjustments'!$C$657</f>
        <v>Section 104-K: Non-domestic aggregated (related MPAN) distribution across bands</v>
      </c>
    </row>
    <row r="125" spans="6:7" ht="15" thickTop="1" x14ac:dyDescent="0.35">
      <c r="F125" s="282" t="s">
        <v>70</v>
      </c>
      <c r="G125" s="48" t="str">
        <f ca="1">'Pseudo-load coefficients'!$C$18</f>
        <v>Section 105-A: Flags and hours in timebands</v>
      </c>
    </row>
    <row r="126" spans="6:7" x14ac:dyDescent="0.35">
      <c r="F126" s="281" t="s">
        <v>116</v>
      </c>
      <c r="G126" s="48" t="str">
        <f ca="1">'Pseudo-load coefficients'!$C$28</f>
        <v>Section 105-B: Average load by timeband</v>
      </c>
    </row>
    <row r="127" spans="6:7" x14ac:dyDescent="0.35">
      <c r="F127" s="281" t="s">
        <v>116</v>
      </c>
      <c r="G127" s="48" t="str">
        <f ca="1">'Pseudo-load coefficients'!$C$36</f>
        <v>Section 105-C: Aggregated groups for pseudo-load coefficients</v>
      </c>
    </row>
    <row r="128" spans="6:7" x14ac:dyDescent="0.35">
      <c r="F128" s="281" t="s">
        <v>116</v>
      </c>
      <c r="G128" s="48" t="str">
        <f ca="1">'Pseudo-load coefficients'!$C$52</f>
        <v>Section 105-D: Ratio of coincidence to load factor assuming units evenly spread within time bands, and peak falls in Red period</v>
      </c>
    </row>
    <row r="129" spans="6:7" x14ac:dyDescent="0.35">
      <c r="F129" s="281" t="s">
        <v>116</v>
      </c>
      <c r="G129" s="48" t="str">
        <f ca="1">'Pseudo-load coefficients'!$C$60</f>
        <v>Section 105-E: Load characteristics for all customers</v>
      </c>
    </row>
    <row r="130" spans="6:7" x14ac:dyDescent="0.35">
      <c r="F130" s="281" t="s">
        <v>116</v>
      </c>
      <c r="G130" s="48" t="str">
        <f ca="1">'Pseudo-load coefficients'!$C$65</f>
        <v>Section 105-F: Aggregated load characteristics for grouped customers</v>
      </c>
    </row>
    <row r="131" spans="6:7" x14ac:dyDescent="0.35">
      <c r="F131" s="281" t="s">
        <v>116</v>
      </c>
      <c r="G131" s="48" t="str">
        <f ca="1">'Pseudo-load coefficients'!$C$87</f>
        <v>Section 105-G: Calculation of correction factor</v>
      </c>
    </row>
    <row r="132" spans="6:7" x14ac:dyDescent="0.35">
      <c r="F132" s="281" t="s">
        <v>116</v>
      </c>
      <c r="G132" s="48" t="str">
        <f ca="1">'Pseudo-load coefficients'!$C$100</f>
        <v>Section 105-H: Peaking probabilities, by network level</v>
      </c>
    </row>
    <row r="133" spans="6:7" x14ac:dyDescent="0.35">
      <c r="F133" s="281" t="s">
        <v>116</v>
      </c>
      <c r="G133" s="48" t="str">
        <f ca="1">'Pseudo-load coefficients'!$C$174</f>
        <v>Section 105-I: Peaking probabilities, by network level and customer type</v>
      </c>
    </row>
    <row r="134" spans="6:7" x14ac:dyDescent="0.35">
      <c r="F134" s="281" t="s">
        <v>116</v>
      </c>
      <c r="G134" s="48" t="str">
        <f ca="1">'Pseudo-load coefficients'!$C$221</f>
        <v>Section 105-J: Ratio of coincidence factor to load factor, based on uniform distribution in timebands and peaking probabilities</v>
      </c>
    </row>
    <row r="135" spans="6:7" x14ac:dyDescent="0.35">
      <c r="F135" s="281" t="s">
        <v>116</v>
      </c>
      <c r="G135" s="48" t="str">
        <f ca="1">'Pseudo-load coefficients'!$C$265</f>
        <v>Section 105-K: Load coefficient</v>
      </c>
    </row>
    <row r="136" spans="6:7" ht="15" thickBot="1" x14ac:dyDescent="0.4">
      <c r="F136" s="281" t="s">
        <v>116</v>
      </c>
      <c r="G136" s="48" t="str">
        <f ca="1">'Pseudo-load coefficients'!$C$269</f>
        <v>Section 105-L: Pseudo load coefficients, by unit rate</v>
      </c>
    </row>
    <row r="137" spans="6:7" ht="15" thickTop="1" x14ac:dyDescent="0.35">
      <c r="F137" s="282" t="s">
        <v>72</v>
      </c>
      <c r="G137" s="48" t="str">
        <f ca="1">'System peak demand'!$C$18</f>
        <v>Section 106-A: Common inputs for chargeable load calculations</v>
      </c>
    </row>
    <row r="138" spans="6:7" x14ac:dyDescent="0.35">
      <c r="F138" s="281" t="s">
        <v>116</v>
      </c>
      <c r="G138" s="48" t="str">
        <f ca="1">'System peak demand'!$C$67</f>
        <v>Section 106-B: System peak load, by unit rate</v>
      </c>
    </row>
    <row r="139" spans="6:7" x14ac:dyDescent="0.35">
      <c r="F139" s="281" t="s">
        <v>116</v>
      </c>
      <c r="G139" s="48" t="str">
        <f ca="1">'System peak demand'!$C$138</f>
        <v>Section 106-C: System peak load, all unit rates</v>
      </c>
    </row>
    <row r="140" spans="6:7" x14ac:dyDescent="0.35">
      <c r="F140" s="281" t="s">
        <v>116</v>
      </c>
      <c r="G140" s="48" t="str">
        <f ca="1">'System peak demand'!$C$164</f>
        <v>Section 106-D: Unit rate contributions to chargeable peak load</v>
      </c>
    </row>
    <row r="141" spans="6:7" x14ac:dyDescent="0.35">
      <c r="F141" s="281" t="s">
        <v>116</v>
      </c>
      <c r="G141" s="48" t="str">
        <f ca="1">'System peak demand'!$C$184</f>
        <v>Section 106-E: Adjustment of import and exceeded capacity</v>
      </c>
    </row>
    <row r="142" spans="6:7" x14ac:dyDescent="0.35">
      <c r="F142" s="281" t="s">
        <v>116</v>
      </c>
      <c r="G142" s="48" t="str">
        <f ca="1">'System peak demand'!$C$194</f>
        <v>Section 106-F: Calculation of LV circuit diversity factor</v>
      </c>
    </row>
    <row r="143" spans="6:7" x14ac:dyDescent="0.35">
      <c r="F143" s="281" t="s">
        <v>116</v>
      </c>
      <c r="G143" s="48" t="str">
        <f ca="1">'System peak demand'!$C$236</f>
        <v>Section 106-G: Import/exceeded capacity contribution to system peak</v>
      </c>
    </row>
    <row r="144" spans="6:7" x14ac:dyDescent="0.35">
      <c r="F144" s="281" t="s">
        <v>116</v>
      </c>
      <c r="G144" s="48" t="str">
        <f ca="1">'System peak demand'!$C$249</f>
        <v>Section 106-H: Estimated capacity contribution to system peak</v>
      </c>
    </row>
    <row r="145" spans="6:7" ht="15" thickBot="1" x14ac:dyDescent="0.4">
      <c r="F145" s="281" t="s">
        <v>116</v>
      </c>
      <c r="G145" s="48" t="str">
        <f ca="1">'System peak demand'!$C$266</f>
        <v>Section 106-I: System peak based on chargeable load</v>
      </c>
    </row>
    <row r="146" spans="6:7" ht="15.5" thickTop="1" thickBot="1" x14ac:dyDescent="0.4">
      <c r="F146" s="282" t="s">
        <v>74</v>
      </c>
      <c r="G146" s="48" t="str">
        <f ca="1">'Service model assets'!$C$14</f>
        <v>Section 107-A: Service model notional asset values</v>
      </c>
    </row>
    <row r="147" spans="6:7" ht="15" thickTop="1" x14ac:dyDescent="0.35">
      <c r="F147" s="282" t="s">
        <v>76</v>
      </c>
      <c r="G147" s="48" t="str">
        <f ca="1">'Unit costs'!$C$19</f>
        <v>Section 108-A: Financial data</v>
      </c>
    </row>
    <row r="148" spans="6:7" x14ac:dyDescent="0.35">
      <c r="F148" s="281" t="s">
        <v>116</v>
      </c>
      <c r="G148" s="48" t="str">
        <f ca="1">'Unit costs'!$C$27</f>
        <v>Section 108-B: Diversity and loss adjustment factors</v>
      </c>
    </row>
    <row r="149" spans="6:7" x14ac:dyDescent="0.35">
      <c r="F149" s="281" t="s">
        <v>116</v>
      </c>
      <c r="G149" s="48" t="str">
        <f ca="1">'Unit costs'!$C$35</f>
        <v>Section 108-C: Maximum demand</v>
      </c>
    </row>
    <row r="150" spans="6:7" x14ac:dyDescent="0.35">
      <c r="F150" s="281" t="s">
        <v>116</v>
      </c>
      <c r="G150" s="48" t="str">
        <f ca="1">'Unit costs'!$C$42</f>
        <v>Section 108-D: Rerouting matrix</v>
      </c>
    </row>
    <row r="151" spans="6:7" x14ac:dyDescent="0.35">
      <c r="F151" s="281" t="s">
        <v>116</v>
      </c>
      <c r="G151" s="48" t="str">
        <f ca="1">'Unit costs'!$C$50</f>
        <v>Section 108-E: Annuitised cost of assets</v>
      </c>
    </row>
    <row r="152" spans="6:7" x14ac:dyDescent="0.35">
      <c r="F152" s="281" t="s">
        <v>116</v>
      </c>
      <c r="G152" s="48" t="str">
        <f ca="1">'Unit costs'!$C$62</f>
        <v>Section 108-F: System simultaneous peak load based on charegable units</v>
      </c>
    </row>
    <row r="153" spans="6:7" x14ac:dyDescent="0.35">
      <c r="F153" s="281" t="s">
        <v>116</v>
      </c>
      <c r="G153" s="48" t="str">
        <f ca="1">'Unit costs'!$C$69</f>
        <v>Section 108-G: Notional asset values, by network level</v>
      </c>
    </row>
    <row r="154" spans="6:7" x14ac:dyDescent="0.35">
      <c r="F154" s="281" t="s">
        <v>116</v>
      </c>
      <c r="G154" s="48" t="str">
        <f ca="1">'Unit costs'!$C$80</f>
        <v>Section 108-H: Other operating costs</v>
      </c>
    </row>
    <row r="155" spans="6:7" x14ac:dyDescent="0.35">
      <c r="F155" s="281" t="s">
        <v>116</v>
      </c>
      <c r="G155" s="48" t="str">
        <f ca="1">'Unit costs'!$C$92</f>
        <v>Section 108-I: Other operating costs by network level</v>
      </c>
    </row>
    <row r="156" spans="6:7" x14ac:dyDescent="0.35">
      <c r="F156" s="281" t="s">
        <v>116</v>
      </c>
      <c r="G156" s="48" t="str">
        <f ca="1">'Unit costs'!$C$104</f>
        <v>Section 108-J: Notional asset values by network level</v>
      </c>
    </row>
    <row r="157" spans="6:7" x14ac:dyDescent="0.35">
      <c r="F157" s="281" t="s">
        <v>116</v>
      </c>
      <c r="G157" s="48" t="str">
        <f ca="1">'Unit costs'!$C$110</f>
        <v>Section 108-K: Unit costs</v>
      </c>
    </row>
    <row r="158" spans="6:7" ht="15" thickBot="1" x14ac:dyDescent="0.4">
      <c r="F158" s="281" t="s">
        <v>116</v>
      </c>
      <c r="G158" s="48" t="str">
        <f ca="1">'Unit costs'!$C$117</f>
        <v>Section 108-L: Values used for allocating costs to service models</v>
      </c>
    </row>
    <row r="159" spans="6:7" ht="15" thickTop="1" x14ac:dyDescent="0.35">
      <c r="F159" s="282" t="s">
        <v>78</v>
      </c>
      <c r="G159" s="48" t="str">
        <f ca="1">'Initial unit rates'!$C$13</f>
        <v>Section 109-A: Inputs for yardstick and unit rate calculations</v>
      </c>
    </row>
    <row r="160" spans="6:7" x14ac:dyDescent="0.35">
      <c r="F160" s="281" t="s">
        <v>116</v>
      </c>
      <c r="G160" s="48" t="str">
        <f ca="1">'Initial unit rates'!$C$118</f>
        <v>Section 109-B: Yardstick charges</v>
      </c>
    </row>
    <row r="161" spans="6:7" x14ac:dyDescent="0.35">
      <c r="F161" s="281" t="s">
        <v>116</v>
      </c>
      <c r="G161" s="48" t="str">
        <f ca="1">'Initial unit rates'!$C$146</f>
        <v>Section 109-C: Unit rate 1</v>
      </c>
    </row>
    <row r="162" spans="6:7" x14ac:dyDescent="0.35">
      <c r="F162" s="281" t="s">
        <v>116</v>
      </c>
      <c r="G162" s="48" t="str">
        <f ca="1">'Initial unit rates'!$C$175</f>
        <v>Section 109-D: Unit rate 2</v>
      </c>
    </row>
    <row r="163" spans="6:7" ht="15" thickBot="1" x14ac:dyDescent="0.4">
      <c r="F163" s="281" t="s">
        <v>116</v>
      </c>
      <c r="G163" s="48" t="str">
        <f ca="1">'Initial unit rates'!$C$204</f>
        <v>Section 109-E: Unit rate 3</v>
      </c>
    </row>
    <row r="164" spans="6:7" ht="15" thickTop="1" x14ac:dyDescent="0.35">
      <c r="F164" s="282" t="s">
        <v>80</v>
      </c>
      <c r="G164" s="48" t="str">
        <f ca="1">'Service model charges'!$C$17</f>
        <v>Section 110-A: Inputs to service model charge calculation</v>
      </c>
    </row>
    <row r="165" spans="6:7" x14ac:dyDescent="0.35">
      <c r="F165" s="281" t="s">
        <v>116</v>
      </c>
      <c r="G165" s="48" t="str">
        <f ca="1">'Service model charges'!$C$33</f>
        <v>Section 110-B: Calculation of other operating expenditure per £ of notional asset value</v>
      </c>
    </row>
    <row r="166" spans="6:7" ht="15" thickBot="1" x14ac:dyDescent="0.4">
      <c r="F166" s="281" t="s">
        <v>116</v>
      </c>
      <c r="G166" s="48" t="str">
        <f ca="1">'Service model charges'!$C$37</f>
        <v>Section 110-C: Calculation of service model charges</v>
      </c>
    </row>
    <row r="167" spans="6:7" ht="15" thickTop="1" x14ac:dyDescent="0.35">
      <c r="F167" s="282" t="s">
        <v>82</v>
      </c>
      <c r="G167" s="48" t="str">
        <f ca="1">'Unit rate charges'!$C$19</f>
        <v>Section 111-A: Initial unit rate 1</v>
      </c>
    </row>
    <row r="168" spans="6:7" x14ac:dyDescent="0.35">
      <c r="F168" s="281" t="s">
        <v>116</v>
      </c>
      <c r="G168" s="48" t="str">
        <f ca="1">'Unit rate charges'!$C$49</f>
        <v>Section 111-B: Initial unit rate 2</v>
      </c>
    </row>
    <row r="169" spans="6:7" x14ac:dyDescent="0.35">
      <c r="F169" s="281" t="s">
        <v>116</v>
      </c>
      <c r="G169" s="48" t="str">
        <f ca="1">'Unit rate charges'!$C$79</f>
        <v>Section 111-C: Initial unit rate 3</v>
      </c>
    </row>
    <row r="170" spans="6:7" x14ac:dyDescent="0.35">
      <c r="F170" s="281" t="s">
        <v>116</v>
      </c>
      <c r="G170" s="48" t="str">
        <f ca="1">'Unit rate charges'!$C$109</f>
        <v>Section 111-D: Standing charge factors</v>
      </c>
    </row>
    <row r="171" spans="6:7" x14ac:dyDescent="0.35">
      <c r="F171" s="281" t="s">
        <v>116</v>
      </c>
      <c r="G171" s="48" t="str">
        <f ca="1">'Unit rate charges'!$C$124</f>
        <v>Section 111-E: Contributions to unit rate 1 p/kWh by network level (taking account of standing charges)</v>
      </c>
    </row>
    <row r="172" spans="6:7" x14ac:dyDescent="0.35">
      <c r="F172" s="281" t="s">
        <v>116</v>
      </c>
      <c r="G172" s="48" t="str">
        <f ca="1">'Unit rate charges'!$C$154</f>
        <v>Section 111-F: Contributions to unit rate 2 p/kWh by network level (taking account of standing charges)</v>
      </c>
    </row>
    <row r="173" spans="6:7" x14ac:dyDescent="0.35">
      <c r="F173" s="281" t="s">
        <v>116</v>
      </c>
      <c r="G173" s="48" t="str">
        <f ca="1">'Unit rate charges'!$C$184</f>
        <v>Section 111-G: Contributions to unit rate 3 p/kWh by network level (taking account of standing charges)</v>
      </c>
    </row>
    <row r="174" spans="6:7" ht="15" thickBot="1" x14ac:dyDescent="0.4">
      <c r="F174" s="281" t="s">
        <v>116</v>
      </c>
      <c r="G174" s="48" t="str">
        <f ca="1">'Unit rate charges'!$C$214</f>
        <v>Section 111-H: Unit rates, post application of standing charges</v>
      </c>
    </row>
    <row r="175" spans="6:7" ht="15" thickTop="1" x14ac:dyDescent="0.35">
      <c r="F175" s="282" t="s">
        <v>86</v>
      </c>
      <c r="G175" s="48" t="str">
        <f ca="1">'Capacity charges'!$C$19</f>
        <v>Section 112-A: Inputs to capacity charge calculations</v>
      </c>
    </row>
    <row r="176" spans="6:7" x14ac:dyDescent="0.35">
      <c r="F176" s="281" t="s">
        <v>116</v>
      </c>
      <c r="G176" s="48" t="str">
        <f ca="1">'Capacity charges'!$C$129</f>
        <v>Section 112-B: Capacity-based charge elements (to be split between capacity &amp; fixed charges)</v>
      </c>
    </row>
    <row r="177" spans="6:7" x14ac:dyDescent="0.35">
      <c r="F177" s="281" t="s">
        <v>116</v>
      </c>
      <c r="G177" s="48" t="str">
        <f ca="1">'Capacity charges'!$C$159</f>
        <v>Section 112-C: Exceeded capacity-based charge elements</v>
      </c>
    </row>
    <row r="178" spans="6:7" x14ac:dyDescent="0.35">
      <c r="F178" s="281" t="s">
        <v>116</v>
      </c>
      <c r="G178" s="48" t="str">
        <f ca="1">'Capacity charges'!$C$189</f>
        <v>Section 112-D: Capacity charges for eligible customers, by network level</v>
      </c>
    </row>
    <row r="179" spans="6:7" x14ac:dyDescent="0.35">
      <c r="F179" s="281" t="s">
        <v>116</v>
      </c>
      <c r="G179" s="48" t="str">
        <f ca="1">'Capacity charges'!$C$219</f>
        <v>Section 112-E: Exceeded capacity charges for eligible customers, by network level</v>
      </c>
    </row>
    <row r="180" spans="6:7" x14ac:dyDescent="0.35">
      <c r="F180" s="281" t="s">
        <v>116</v>
      </c>
      <c r="G180" s="48" t="str">
        <f ca="1">'Capacity charges'!$C$254</f>
        <v>Section 112-F: Capacity and exceeded capacity charges</v>
      </c>
    </row>
    <row r="181" spans="6:7" ht="15" thickBot="1" x14ac:dyDescent="0.4">
      <c r="F181" s="281" t="s">
        <v>116</v>
      </c>
      <c r="G181" s="48" t="str">
        <f ca="1">'Capacity charges'!$C$259</f>
        <v>Section 112-G: Capacity elements allocated to fixed charges</v>
      </c>
    </row>
    <row r="182" spans="6:7" ht="15" thickTop="1" x14ac:dyDescent="0.35">
      <c r="F182" s="282" t="s">
        <v>84</v>
      </c>
      <c r="G182" s="48" t="str">
        <f ca="1">'Reactive power charges'!$C$17</f>
        <v>Section 113-A: Inputs to reactive power charge calculations</v>
      </c>
    </row>
    <row r="183" spans="6:7" x14ac:dyDescent="0.35">
      <c r="F183" s="281" t="s">
        <v>116</v>
      </c>
      <c r="G183" s="48" t="str">
        <f ca="1">'Reactive power charges'!$C$120</f>
        <v>Section 113-B: Yardstick charge (demand)</v>
      </c>
    </row>
    <row r="184" spans="6:7" x14ac:dyDescent="0.35">
      <c r="F184" s="281" t="s">
        <v>116</v>
      </c>
      <c r="G184" s="48" t="str">
        <f ca="1">'Reactive power charges'!$C$155</f>
        <v>Section 113-C: Yardstick charge used for generation</v>
      </c>
    </row>
    <row r="185" spans="6:7" x14ac:dyDescent="0.35">
      <c r="F185" s="281" t="s">
        <v>116</v>
      </c>
      <c r="G185" s="48" t="str">
        <f ca="1">'Reactive power charges'!$C$190</f>
        <v>Section 113-D: Reactive power charges, all customer categories</v>
      </c>
    </row>
    <row r="186" spans="6:7" ht="15" thickBot="1" x14ac:dyDescent="0.4">
      <c r="F186" s="281" t="s">
        <v>116</v>
      </c>
      <c r="G186" s="48" t="str">
        <f ca="1">'Reactive power charges'!$C$220</f>
        <v>Section 113-E: Reactive power charges for applicable customers</v>
      </c>
    </row>
    <row r="187" spans="6:7" ht="15" thickTop="1" x14ac:dyDescent="0.35">
      <c r="F187" s="282" t="s">
        <v>88</v>
      </c>
      <c r="G187" s="48" t="str">
        <f ca="1">'Fixed charges'!$C$16</f>
        <v>Section 114-A: Volumes (discounted MPANs &amp; maximum load)</v>
      </c>
    </row>
    <row r="188" spans="6:7" x14ac:dyDescent="0.35">
      <c r="F188" s="281" t="s">
        <v>116</v>
      </c>
      <c r="G188" s="48" t="str">
        <f ca="1">'Fixed charges'!$C$22</f>
        <v>Section 114-B: Capacity elements allocated to fixed charges</v>
      </c>
    </row>
    <row r="189" spans="6:7" x14ac:dyDescent="0.35">
      <c r="F189" s="281" t="s">
        <v>116</v>
      </c>
      <c r="G189" s="48" t="str">
        <f ca="1">'Fixed charges'!$C$52</f>
        <v>Section 114-C: Service model costs allocated to fixed charges</v>
      </c>
    </row>
    <row r="190" spans="6:7" x14ac:dyDescent="0.35">
      <c r="F190" s="281" t="s">
        <v>116</v>
      </c>
      <c r="G190" s="48" t="str">
        <f ca="1">'Fixed charges'!$C$58</f>
        <v>Section 114-D: Flags</v>
      </c>
    </row>
    <row r="191" spans="6:7" x14ac:dyDescent="0.35">
      <c r="F191" s="281" t="s">
        <v>116</v>
      </c>
      <c r="G191" s="48" t="str">
        <f ca="1">'Fixed charges'!$C$67</f>
        <v>Section 114-E: Revenue allocated to fixed charges</v>
      </c>
    </row>
    <row r="192" spans="6:7" x14ac:dyDescent="0.35">
      <c r="F192" s="281" t="s">
        <v>116</v>
      </c>
      <c r="G192" s="48" t="str">
        <f ca="1">'Fixed charges'!$C$97</f>
        <v>Section 114-F: Revenue allocated to fixed charges, by aggregation group</v>
      </c>
    </row>
    <row r="193" spans="6:7" x14ac:dyDescent="0.35">
      <c r="F193" s="281" t="s">
        <v>116</v>
      </c>
      <c r="G193" s="48" t="str">
        <f ca="1">'Fixed charges'!$C$127</f>
        <v>Section 114-G: Fixed charges, by network level</v>
      </c>
    </row>
    <row r="194" spans="6:7" ht="15" thickBot="1" x14ac:dyDescent="0.4">
      <c r="F194" s="281" t="s">
        <v>116</v>
      </c>
      <c r="G194" s="48" t="str">
        <f ca="1">'Fixed charges'!$C$159</f>
        <v>Section 114-H: Aggregated fixed charges</v>
      </c>
    </row>
    <row r="195" spans="6:7" ht="15" thickTop="1" x14ac:dyDescent="0.35">
      <c r="F195" s="282" t="s">
        <v>1150</v>
      </c>
      <c r="G195" s="48" t="str">
        <f ca="1">'SoLR &amp; bad debt adders'!$C$16</f>
        <v>Section 115-A: Inputs for fixed tariff adjustments</v>
      </c>
    </row>
    <row r="196" spans="6:7" x14ac:dyDescent="0.35">
      <c r="F196" s="281" t="s">
        <v>116</v>
      </c>
      <c r="G196" s="48" t="str">
        <f ca="1">'SoLR &amp; bad debt adders'!$C$35</f>
        <v>Section 115-B: Calculation of fixed tariff adjustments</v>
      </c>
    </row>
    <row r="197" spans="6:7" ht="15" thickBot="1" x14ac:dyDescent="0.4">
      <c r="F197" s="281" t="s">
        <v>116</v>
      </c>
      <c r="G197" s="48" t="str">
        <f ca="1">'SoLR &amp; bad debt adders'!$C$53</f>
        <v>Section 115-C: Calculation of fixed charge adder revenue</v>
      </c>
    </row>
    <row r="198" spans="6:7" ht="15" thickTop="1" x14ac:dyDescent="0.35">
      <c r="F198" s="282" t="s">
        <v>90</v>
      </c>
      <c r="G198" s="48" t="str">
        <f ca="1">'Revenue matching'!$C$15</f>
        <v>Section 116-A: Inputs to revenue matching</v>
      </c>
    </row>
    <row r="199" spans="6:7" x14ac:dyDescent="0.35">
      <c r="F199" s="281" t="s">
        <v>116</v>
      </c>
      <c r="G199" s="48" t="str">
        <f ca="1">'Revenue matching'!$C$70</f>
        <v>Section 116-B: Net revenue before matching</v>
      </c>
    </row>
    <row r="200" spans="6:7" x14ac:dyDescent="0.35">
      <c r="F200" s="281" t="s">
        <v>116</v>
      </c>
      <c r="G200" s="48" t="str">
        <f ca="1">'Revenue matching'!$C$89</f>
        <v>Section 116-C: Grouping of residual bands where a band has insufficient customers</v>
      </c>
    </row>
    <row r="201" spans="6:7" x14ac:dyDescent="0.35">
      <c r="F201" s="281" t="s">
        <v>116</v>
      </c>
      <c r="G201" s="48" t="str">
        <f ca="1">'Revenue matching'!$C$152</f>
        <v>Section 116-D: Calculating MPANs for matching</v>
      </c>
    </row>
    <row r="202" spans="6:7" x14ac:dyDescent="0.35">
      <c r="F202" s="281" t="s">
        <v>116</v>
      </c>
      <c r="G202" s="48" t="str">
        <f ca="1">'Revenue matching'!$C$160</f>
        <v>Section 116-E: Calculating unit volumes for matching</v>
      </c>
    </row>
    <row r="203" spans="6:7" x14ac:dyDescent="0.35">
      <c r="F203" s="281" t="s">
        <v>116</v>
      </c>
      <c r="G203" s="48" t="str">
        <f ca="1">'Revenue matching'!$C$177</f>
        <v>Section 116-F: Allocating revenue to tariffs</v>
      </c>
    </row>
    <row r="204" spans="6:7" x14ac:dyDescent="0.35">
      <c r="F204" s="281" t="s">
        <v>116</v>
      </c>
      <c r="G204" s="48" t="str">
        <f ca="1">'Revenue matching'!$C$193</f>
        <v>Section 116-G: Calculating the residual fixed charge</v>
      </c>
    </row>
    <row r="205" spans="6:7" x14ac:dyDescent="0.35">
      <c r="F205" s="281" t="s">
        <v>116</v>
      </c>
      <c r="G205" s="48" t="str">
        <f ca="1">'Revenue matching'!$C$201</f>
        <v>Section 116-H: Calculating the initial residual unit rate</v>
      </c>
    </row>
    <row r="206" spans="6:7" x14ac:dyDescent="0.35">
      <c r="F206" s="281" t="s">
        <v>116</v>
      </c>
      <c r="G206" s="48" t="str">
        <f ca="1">'Revenue matching'!$C$214</f>
        <v>Section 116-I: Floor on negative residual fixed charges</v>
      </c>
    </row>
    <row r="207" spans="6:7" x14ac:dyDescent="0.35">
      <c r="F207" s="281" t="s">
        <v>116</v>
      </c>
      <c r="G207" s="48" t="str">
        <f ca="1">'Revenue matching'!$C$233</f>
        <v>Section 116-J: Ranking unit rate volumes and tariffs</v>
      </c>
    </row>
    <row r="208" spans="6:7" x14ac:dyDescent="0.35">
      <c r="F208" s="281" t="s">
        <v>116</v>
      </c>
      <c r="G208" s="48" t="str">
        <f ca="1">'Revenue matching'!$C$287</f>
        <v>Section 116-K: Revenue matching for three timebands</v>
      </c>
    </row>
    <row r="209" spans="6:7" x14ac:dyDescent="0.35">
      <c r="F209" s="281" t="s">
        <v>116</v>
      </c>
      <c r="G209" s="48" t="str">
        <f ca="1">'Revenue matching'!$C$314</f>
        <v>Section 116-L: Revenue matching for two timebands</v>
      </c>
    </row>
    <row r="210" spans="6:7" x14ac:dyDescent="0.35">
      <c r="F210" s="281" t="s">
        <v>116</v>
      </c>
      <c r="G210" s="48" t="str">
        <f ca="1">'Revenue matching'!$C$346</f>
        <v>Section 116-M: Revenue matching for one timeband</v>
      </c>
    </row>
    <row r="211" spans="6:7" x14ac:dyDescent="0.35">
      <c r="F211" s="281" t="s">
        <v>116</v>
      </c>
      <c r="G211" s="48" t="str">
        <f ca="1">'Revenue matching'!$C$378</f>
        <v>Section 116-N: Revenue matching adders by timeband</v>
      </c>
    </row>
    <row r="212" spans="6:7" ht="15" thickBot="1" x14ac:dyDescent="0.4">
      <c r="F212" s="281" t="s">
        <v>116</v>
      </c>
      <c r="G212" s="48" t="str">
        <f ca="1">'Revenue matching'!$C$410</f>
        <v>Section 116-O: Final adders</v>
      </c>
    </row>
    <row r="213" spans="6:7" ht="15" thickTop="1" x14ac:dyDescent="0.35">
      <c r="F213" s="282" t="s">
        <v>92</v>
      </c>
      <c r="G213" s="48" t="str">
        <f ca="1">Rounding!$C$16</f>
        <v>Section 117-A: Pre-match, pre-rounding tariff forecast</v>
      </c>
    </row>
    <row r="214" spans="6:7" x14ac:dyDescent="0.35">
      <c r="F214" s="281" t="s">
        <v>116</v>
      </c>
      <c r="G214" s="48" t="str">
        <f ca="1">Rounding!$C$28</f>
        <v>Section 117-B: Adders for revenue matching</v>
      </c>
    </row>
    <row r="215" spans="6:7" x14ac:dyDescent="0.35">
      <c r="F215" s="281" t="s">
        <v>116</v>
      </c>
      <c r="G215" s="48" t="str">
        <f ca="1">Rounding!$C$40</f>
        <v>Section 117-C: Adder to fixed charge for allocated pass-through costs</v>
      </c>
    </row>
    <row r="216" spans="6:7" x14ac:dyDescent="0.35">
      <c r="F216" s="281" t="s">
        <v>116</v>
      </c>
      <c r="G216" s="48" t="str">
        <f ca="1">Rounding!$C$52</f>
        <v>Section 117-D: LDNO discounts</v>
      </c>
    </row>
    <row r="217" spans="6:7" x14ac:dyDescent="0.35">
      <c r="F217" s="281" t="s">
        <v>116</v>
      </c>
      <c r="G217" s="48" t="str">
        <f ca="1">Rounding!$C$92</f>
        <v>Section 117-E: Decimal places for rounding</v>
      </c>
    </row>
    <row r="218" spans="6:7" x14ac:dyDescent="0.35">
      <c r="F218" s="281" t="s">
        <v>116</v>
      </c>
      <c r="G218" s="48" t="str">
        <f ca="1">Rounding!$C$107</f>
        <v>Section 117-F: Tariff forecast, post-revenue matching</v>
      </c>
    </row>
    <row r="219" spans="6:7" x14ac:dyDescent="0.35">
      <c r="F219" s="281" t="s">
        <v>116</v>
      </c>
      <c r="G219" s="48" t="str">
        <f ca="1">Rounding!$C$118</f>
        <v>Section 117-G: Tariff forecast, post-adders &amp; discounting</v>
      </c>
    </row>
    <row r="220" spans="6:7" ht="15" thickBot="1" x14ac:dyDescent="0.4">
      <c r="F220" s="281" t="s">
        <v>116</v>
      </c>
      <c r="G220" s="48" t="str">
        <f ca="1">Rounding!$C$147</f>
        <v>Section 117-H: Tariff forecast, post-rounding</v>
      </c>
    </row>
    <row r="221" spans="6:7" ht="15" thickTop="1" x14ac:dyDescent="0.35">
      <c r="F221" s="282" t="s">
        <v>94</v>
      </c>
      <c r="G221" s="48" t="str">
        <f ca="1">'Net revenue summary'!$C$13</f>
        <v>Section 118-A: Volume forecasts</v>
      </c>
    </row>
    <row r="222" spans="6:7" x14ac:dyDescent="0.35">
      <c r="F222" s="281" t="s">
        <v>116</v>
      </c>
      <c r="G222" s="48" t="str">
        <f ca="1">'Net revenue summary'!$C$52</f>
        <v>Section 118-B: Tariff forecast</v>
      </c>
    </row>
    <row r="223" spans="6:7" x14ac:dyDescent="0.35">
      <c r="F223" s="281" t="s">
        <v>116</v>
      </c>
      <c r="G223" s="48" t="str">
        <f ca="1">'Net revenue summary'!$C$81</f>
        <v>Section 118-C: Net revenue components</v>
      </c>
    </row>
    <row r="224" spans="6:7" x14ac:dyDescent="0.35">
      <c r="F224" s="281" t="s">
        <v>116</v>
      </c>
      <c r="G224" s="48" t="str">
        <f ca="1">'Net revenue summary'!$C$92</f>
        <v>Section 118-D: Net revenue by tariff</v>
      </c>
    </row>
    <row r="225" spans="2:7" x14ac:dyDescent="0.35">
      <c r="F225" s="281" t="s">
        <v>116</v>
      </c>
      <c r="G225" s="48" t="str">
        <f ca="1">'Net revenue summary'!$C$124</f>
        <v>Section 118-E: Net revenue summary (for information only)</v>
      </c>
    </row>
    <row r="226" spans="2:7" x14ac:dyDescent="0.35">
      <c r="F226" s="281" t="s">
        <v>116</v>
      </c>
      <c r="G226" s="48" t="str">
        <f ca="1">'Net revenue summary'!$C$138</f>
        <v>Section 118-F: Typical bills</v>
      </c>
    </row>
    <row r="227" spans="2:7" x14ac:dyDescent="0.35">
      <c r="F227" s="281" t="s">
        <v>116</v>
      </c>
      <c r="G227" s="48" t="str">
        <f ca="1">'Net revenue summary'!$C$144</f>
        <v>Section 118-G: Average bill per kWh</v>
      </c>
    </row>
    <row r="228" spans="2:7" x14ac:dyDescent="0.35">
      <c r="F228" s="281" t="s">
        <v>116</v>
      </c>
      <c r="G228" s="48" t="str">
        <f ca="1">'Net revenue summary'!$C$152</f>
        <v>Section 118-H: Previous year all the way tariff forecast</v>
      </c>
    </row>
    <row r="229" spans="2:7" x14ac:dyDescent="0.35">
      <c r="F229" s="281" t="s">
        <v>116</v>
      </c>
      <c r="G229" s="48" t="str">
        <f ca="1">'Net revenue summary'!$C$163</f>
        <v>Section 118-I: Previous year net revenue from all the way tariff forecast</v>
      </c>
    </row>
    <row r="230" spans="2:7" x14ac:dyDescent="0.35">
      <c r="F230" s="281" t="s">
        <v>116</v>
      </c>
      <c r="G230" s="48" t="str">
        <f ca="1">'Net revenue summary'!$C$178</f>
        <v>Section 118-J: LDNO typical bills using all-the-way volumes</v>
      </c>
    </row>
    <row r="231" spans="2:7" ht="15" thickBot="1" x14ac:dyDescent="0.4">
      <c r="F231" s="281" t="s">
        <v>116</v>
      </c>
      <c r="G231" s="48" t="str">
        <f ca="1">'Net revenue summary'!$C$202</f>
        <v>Section 118-K: LDNO margins</v>
      </c>
    </row>
    <row r="232" spans="2:7" ht="15.5" thickTop="1" thickBot="1" x14ac:dyDescent="0.4">
      <c r="F232" s="284" t="s">
        <v>96</v>
      </c>
      <c r="G232" s="48" t="str">
        <f>'Tariff summary'!$C$13</f>
        <v>Output 101-A: Tariffs for 2024/25</v>
      </c>
    </row>
    <row r="233" spans="2:7" ht="15" thickTop="1" x14ac:dyDescent="0.35">
      <c r="F233" s="284" t="s">
        <v>98</v>
      </c>
      <c r="G233" s="48" t="str">
        <f ca="1">'Output to other models'!$C$14</f>
        <v>Output 102-A: CDCM notional EHV asset values</v>
      </c>
    </row>
    <row r="234" spans="2:7" x14ac:dyDescent="0.35">
      <c r="F234" s="449"/>
      <c r="G234" s="48" t="str">
        <f ca="1">'Output to other models'!$C$25</f>
        <v>Output 102-B: CDCM smart meter communication licence costs</v>
      </c>
    </row>
    <row r="235" spans="2:7" x14ac:dyDescent="0.35">
      <c r="F235" s="283" t="s">
        <v>116</v>
      </c>
      <c r="G235" s="48" t="str">
        <f ca="1">'Output to other models'!$C$33</f>
        <v>Output 102-C: CDCM end user tariff forecast</v>
      </c>
    </row>
    <row r="236" spans="2:7" x14ac:dyDescent="0.35">
      <c r="F236" s="283" t="s">
        <v>116</v>
      </c>
      <c r="G236" s="48" t="str">
        <f ca="1">'Output to other models'!$C$51</f>
        <v>Output 102-D: CDCM non-tariff outputs to EDCM</v>
      </c>
    </row>
    <row r="237" spans="2:7" x14ac:dyDescent="0.35">
      <c r="F237" s="283" t="s">
        <v>116</v>
      </c>
      <c r="G237" s="48" t="str">
        <f ca="1">'Output to other models'!$C$63</f>
        <v>Output 102-E: Outputs for DNOs' internal use</v>
      </c>
    </row>
    <row r="238" spans="2:7" x14ac:dyDescent="0.35">
      <c r="F238" s="283" t="s">
        <v>116</v>
      </c>
      <c r="G238" s="48" t="str">
        <f ca="1">'Output to other models'!$C$73</f>
        <v>Output 102-F: Outputs for IDNOs' internal use</v>
      </c>
    </row>
    <row r="240" spans="2:7" x14ac:dyDescent="0.35">
      <c r="B240" s="25" t="s">
        <v>106</v>
      </c>
      <c r="C240" s="25"/>
      <c r="D240" s="25"/>
      <c r="E240" s="25"/>
      <c r="F240" s="25"/>
      <c r="G240" s="25"/>
    </row>
  </sheetData>
  <sheetProtection sheet="1" formatCells="0" formatColumns="0" formatRows="0" sort="0" autoFilter="0"/>
  <hyperlinks>
    <hyperlink ref="F15" location="'Cover'!A4" display="'" xr:uid="{72E357D8-AE8A-41B9-88FE-AED747DCD2B6}"/>
    <hyperlink ref="F16" location="'Version control'!A4" display="'" xr:uid="{A310BC66-D980-4304-AAFD-AF1B9E4D4F3A}"/>
    <hyperlink ref="G16" location="'Version control'!$B$5" display="'Version control'!$B$5" xr:uid="{F0FB770C-D894-40E9-BC70-0BB3802C142E}"/>
    <hyperlink ref="F17" location="'Version control'!A4" display="'" xr:uid="{6DC370B5-FDEA-4F73-8A3B-93DF11C929A1}"/>
    <hyperlink ref="G17" location="'Version control'!$B$17" display="'Version control'!$B$17" xr:uid="{B93B5F11-D467-41DC-BDBB-0CD7E00FA25F}"/>
    <hyperlink ref="F18" location="'Version control'!A4" display="'" xr:uid="{338BFE80-E0BF-4934-A7FE-1EAE64F60D33}"/>
    <hyperlink ref="G18" location="'Version control'!$B$31" display="'Version control'!$B$31" xr:uid="{0E4E5B4D-988D-4C64-BB72-55BC9611F23A}"/>
    <hyperlink ref="F19" location="'Version control'!A4" display="'" xr:uid="{B7975A72-2153-41ED-BAD1-CB32128DCD73}"/>
    <hyperlink ref="G19" location="'Version control'!$B$60" display="'Version control'!$B$60" xr:uid="{AFB5D104-965B-49C5-AF18-40125067460C}"/>
    <hyperlink ref="F20" location="'Model map'!A4" display="'" xr:uid="{320795E9-28BC-4B38-A3CB-4FAC593324BA}"/>
    <hyperlink ref="G20" location="'Model map'!$B$5" display="'Model map'!$B$5" xr:uid="{CE0D5C86-7C35-43FE-B39A-108F4726CD64}"/>
    <hyperlink ref="F21" location="'Named ranges'!A4" display="'" xr:uid="{E4B5B567-F3AC-4577-A278-C33DB1F1B611}"/>
    <hyperlink ref="G21" location="'Named ranges'!$B$5" display="'Named ranges'!$B$5" xr:uid="{E56D1322-4AC8-4AF9-9B82-752EAB05B009}"/>
    <hyperlink ref="F22" location="'Fixed inputs'!A4" display="'" xr:uid="{D39F6576-4987-4DB6-A9C5-DF58E511420A}"/>
    <hyperlink ref="G22" location="'Fixed inputs'!$B$11" display="'Fixed inputs'!$B$11" xr:uid="{14C5B139-451A-4B1E-8B06-3A7C33F4C7BB}"/>
    <hyperlink ref="F23" location="'Inputs by customer type'!A4" display="'" xr:uid="{E9C1580E-B49A-44DD-BBFA-82EE9AEE577F}"/>
    <hyperlink ref="G23" location="'Inputs by customer type'!$B$11" display="'Inputs by customer type'!$B$11" xr:uid="{44CE51AE-1F93-406C-B2D6-8980FF2E176A}"/>
    <hyperlink ref="F24" location="'Inputs by network level'!A4" display="'" xr:uid="{D03861BF-1B6C-4084-95DE-87A4A1B55294}"/>
    <hyperlink ref="G24" location="'Inputs by network level'!$B$11" display="'Inputs by network level'!$B$11" xr:uid="{5B81BAB0-89E7-41D0-B58C-20E4EEE60F88}"/>
    <hyperlink ref="F25" location="'General inputs'!A4" display="'" xr:uid="{A8DD92BB-8AD4-4BFA-8418-D0F1EF2FD8AE}"/>
    <hyperlink ref="G25" location="'General inputs'!$B$11" display="'General inputs'!$B$11" xr:uid="{75DCABAA-B7CC-4D8B-AF46-20D9E6859F14}"/>
    <hyperlink ref="F26" location="'Standing charge factors'!A4" display="'" xr:uid="{36A262E7-E300-45CB-8A9A-A9A0B8153083}"/>
    <hyperlink ref="G26" location="'Standing charge factors'!$B$17" display="'Standing charge factors'!$B$17" xr:uid="{E22C8077-5C27-492C-AA50-0122CF365293}"/>
    <hyperlink ref="F27" location="'Load &amp; loss characteristics'!A4" display="'" xr:uid="{DD3C0B19-9DE2-4A0C-A8AA-554086E708F5}"/>
    <hyperlink ref="G27" location="'Load &amp; loss characteristics'!$B$13" display="'Load &amp; loss characteristics'!$B$13" xr:uid="{D27C009E-DED9-4C4B-BC83-3A879ABA44DF}"/>
    <hyperlink ref="F28" location="'Load &amp; loss characteristics'!A4" display="'" xr:uid="{A9399A3D-1326-407D-8E71-4A36A4BE4AB9}"/>
    <hyperlink ref="G28" location="'Load &amp; loss characteristics'!$B$31" display="'Load &amp; loss characteristics'!$B$31" xr:uid="{DB07BF0F-7798-4D3D-84F2-8716564EE286}"/>
    <hyperlink ref="F29" location="'Customer contributions'!A4" display="'" xr:uid="{37D5F2E3-D8DF-45D9-AC9D-8CA24DDD83DD}"/>
    <hyperlink ref="G29" location="'Customer contributions'!$B$12" display="'Customer contributions'!$B$12" xr:uid="{5925B7B6-D5BE-4178-93AF-3C9D45BD9C3B}"/>
    <hyperlink ref="F30" location="'Volume adjustments'!A4" display="'" xr:uid="{82BFFB20-A0AD-4125-A872-0555DD176879}"/>
    <hyperlink ref="G30" location="'Volume adjustments'!$B$13" display="'Volume adjustments'!$B$13" xr:uid="{A1A2CADC-ADF9-4839-9C7A-1DA693B95099}"/>
    <hyperlink ref="F31" location="'Volume adjustments'!A4" display="'" xr:uid="{1305664F-069A-460F-BFDC-63C87333DE2C}"/>
    <hyperlink ref="G31" location="'Volume adjustments'!$B$51" display="'Volume adjustments'!$B$51" xr:uid="{0C5BC816-3CCD-455E-8799-34DC7B782BF3}"/>
    <hyperlink ref="F32" location="'Volume adjustments'!A4" display="'" xr:uid="{0902C68B-6990-4F83-B05A-80E9CB2BB1C7}"/>
    <hyperlink ref="G32" location="'Volume adjustments'!$B$310" display="'Volume adjustments'!$B$310" xr:uid="{746C5B98-1B3C-4E06-BD85-CB8591C9695E}"/>
    <hyperlink ref="F33" location="'Pseudo-load coefficients'!A4" display="'" xr:uid="{116549CD-8A22-4708-9E9C-011E97443383}"/>
    <hyperlink ref="G33" location="'Pseudo-load coefficients'!$B$13" display="'Pseudo-load coefficients'!$B$13" xr:uid="{F350FE5A-2FCC-418D-BB83-1029CD2A9456}"/>
    <hyperlink ref="F34" location="'Pseudo-load coefficients'!A4" display="'" xr:uid="{AD67B22C-92C9-4603-8C2A-BB4927C6E443}"/>
    <hyperlink ref="G34" location="'Pseudo-load coefficients'!$B$56" display="'Pseudo-load coefficients'!$B$56" xr:uid="{85D2159A-E3C3-46EA-B4B5-F36D3785A343}"/>
    <hyperlink ref="F35" location="'Pseudo-load coefficients'!A4" display="'" xr:uid="{93ACEAC2-3066-4907-8D8D-1982363515A7}"/>
    <hyperlink ref="G35" location="'Pseudo-load coefficients'!$B$95" display="'Pseudo-load coefficients'!$B$95" xr:uid="{2C019FFA-6429-40F5-9448-43D7DEFC5B0F}"/>
    <hyperlink ref="F36" location="'Pseudo-load coefficients'!A4" display="'" xr:uid="{33CAFC44-1EFD-461E-AA45-BAF0B53EB7C4}"/>
    <hyperlink ref="G36" location="'Pseudo-load coefficients'!$B$261" display="'Pseudo-load coefficients'!$B$261" xr:uid="{F725E6E7-57C8-45C9-8986-17B8B0B28EC6}"/>
    <hyperlink ref="F37" location="'System peak demand'!A4" display="'" xr:uid="{EEB2EB94-1F18-45B7-92D7-B847662C7AED}"/>
    <hyperlink ref="G37" location="'System peak demand'!$B$16" display="'System peak demand'!$B$16" xr:uid="{2B2D2B8B-79FE-43AD-92F8-DF8CB0567442}"/>
    <hyperlink ref="F38" location="'System peak demand'!A4" display="'" xr:uid="{2D1F8A2A-3AAC-462B-AA82-DE521BE16A5D}"/>
    <hyperlink ref="G38" location="'System peak demand'!$B$63" display="'System peak demand'!$B$63" xr:uid="{5FE6918D-18DD-42EF-B7BD-BE36BCC82D72}"/>
    <hyperlink ref="F39" location="'System peak demand'!A4" display="'" xr:uid="{4024E94F-3ADB-4054-9571-5B93C88361B0}"/>
    <hyperlink ref="G39" location="'System peak demand'!$B$179" display="'System peak demand'!$B$179" xr:uid="{C54A0C1B-8F1D-4DE5-9F82-A09B4386E65B}"/>
    <hyperlink ref="F40" location="'System peak demand'!A4" display="'" xr:uid="{836B2ED0-92DC-4466-8BEE-61ABE20C1B10}"/>
    <hyperlink ref="G40" location="'System peak demand'!$B$262" display="'System peak demand'!$B$262" xr:uid="{B2393E05-D39E-4772-BFF9-7A17C2F5E839}"/>
    <hyperlink ref="F41" location="'Service model assets'!A4" display="'" xr:uid="{591FD4B3-5603-4871-B6A7-5DF5DA528851}"/>
    <hyperlink ref="G41" location="'Service model assets'!$B$12" display="'Service model assets'!$B$12" xr:uid="{F994BEC7-A2EA-4E0E-A1FA-FF520D639099}"/>
    <hyperlink ref="F42" location="'Unit costs'!A4" display="'" xr:uid="{810BB0B2-C683-49E3-AACB-A2F1B14E3DCD}"/>
    <hyperlink ref="G42" location="'Unit costs'!$B$15" display="'Unit costs'!$B$15" xr:uid="{4B4FC592-16EB-4475-93FB-0C70F894C5FE}"/>
    <hyperlink ref="F43" location="'Unit costs'!A4" display="'" xr:uid="{355F039C-157E-45FC-A50E-19C000585AB5}"/>
    <hyperlink ref="G43" location="'Unit costs'!$B$58" display="'Unit costs'!$B$58" xr:uid="{F2C1EE10-0643-4AD6-8103-E8659CC1CB68}"/>
    <hyperlink ref="F44" location="'Unit costs'!A4" display="'" xr:uid="{5C8AAB74-1154-4DD9-B6C5-0D04D194B01A}"/>
    <hyperlink ref="G44" location="'Unit costs'!$B$102" display="'Unit costs'!$B$102" xr:uid="{D8817E72-A122-4B65-A17E-12D16FADD5F2}"/>
    <hyperlink ref="F45" location="'Initial unit rates'!A4" display="'" xr:uid="{88DF4AED-560E-4A27-A56D-0B077F389277}"/>
    <hyperlink ref="G45" location="'Initial unit rates'!$B$11" display="'Initial unit rates'!$B$11" xr:uid="{5E5B00E1-4FCF-460A-A330-88F57ED3A3C5}"/>
    <hyperlink ref="F46" location="'Initial unit rates'!A4" display="'" xr:uid="{BCE34980-E11F-4AFD-97D4-78C708072731}"/>
    <hyperlink ref="G46" location="'Initial unit rates'!$B$116" display="'Initial unit rates'!$B$116" xr:uid="{F7B934C6-3CE2-4E07-B116-4A31861E7C48}"/>
    <hyperlink ref="F47" location="'Service model charges'!A4" display="'" xr:uid="{6A25D13A-FAB9-47F6-8656-821782DE1780}"/>
    <hyperlink ref="G47" location="'Service model charges'!$B$13" display="'Service model charges'!$B$13" xr:uid="{A2BF9CC5-6918-4707-9C46-64F173F9CEB8}"/>
    <hyperlink ref="F48" location="'Service model charges'!A4" display="'" xr:uid="{A3308B3E-B95B-49BA-B9B6-A842336EA311}"/>
    <hyperlink ref="G48" location="'Service model charges'!$B$29" display="'Service model charges'!$B$29" xr:uid="{EB807000-C89E-4CDC-861A-AA59BF048E5F}"/>
    <hyperlink ref="F49" location="'Unit rate charges'!A4" display="'" xr:uid="{F5E2AF95-2AF0-43F3-8CC3-2CBC663084CE}"/>
    <hyperlink ref="G49" location="'Unit rate charges'!$B$15" display="'Unit rate charges'!$B$15" xr:uid="{45369E35-1A22-456C-9A88-CB5C176502C1}"/>
    <hyperlink ref="F50" location="'Unit rate charges'!A4" display="'" xr:uid="{3B3B006E-6E78-49BE-ADB4-B0DE2EBDA619}"/>
    <hyperlink ref="G50" location="'Unit rate charges'!$B$122" display="'Unit rate charges'!$B$122" xr:uid="{FC4D906C-791D-455D-AC2C-795FAE4A4645}"/>
    <hyperlink ref="F51" location="'Capacity charges'!A4" display="'" xr:uid="{DC56F3F9-967D-43B5-A5E5-9178E94B5196}"/>
    <hyperlink ref="G51" location="'Capacity charges'!$B$17" display="'Capacity charges'!$B$17" xr:uid="{53E3941B-E6DC-441F-B1B3-F7135497A59E}"/>
    <hyperlink ref="F52" location="'Capacity charges'!A4" display="'" xr:uid="{A53BB8C7-3119-4750-8AE4-75EB719730F9}"/>
    <hyperlink ref="G52" location="'Capacity charges'!$B$125" display="'Capacity charges'!$B$125" xr:uid="{6B0B99A0-8EAC-43FB-941B-87A70939CB25}"/>
    <hyperlink ref="F53" location="'Capacity charges'!A4" display="'" xr:uid="{9D9DB10A-4915-481F-BE19-0B5910565894}"/>
    <hyperlink ref="G53" location="'Capacity charges'!$B$249" display="'Capacity charges'!$B$249" xr:uid="{7C6C2B10-72CE-4CE9-9CD7-02FE38E18B0B}"/>
    <hyperlink ref="F54" location="'Reactive power charges'!A4" display="'" xr:uid="{FCC838BD-B3A1-470D-B3F1-5857CECA304A}"/>
    <hyperlink ref="G54" location="'Reactive power charges'!$B$13" display="'Reactive power charges'!$B$13" xr:uid="{3CC5B87B-7685-4325-9536-517ADEB7E7D0}"/>
    <hyperlink ref="F55" location="'Reactive power charges'!A4" display="'" xr:uid="{F6DA99E2-F679-4372-8F0F-2B038B961F55}"/>
    <hyperlink ref="G55" location="'Reactive power charges'!$B$150" display="'Reactive power charges'!$B$150" xr:uid="{D823E206-B80D-4F59-816E-99DEC51317C6}"/>
    <hyperlink ref="F56" location="'Reactive power charges'!A4" display="'" xr:uid="{09A478B1-E615-4EAE-BC32-6E3BDD31E22F}"/>
    <hyperlink ref="G56" location="'Reactive power charges'!$B$185" display="'Reactive power charges'!$B$185" xr:uid="{3871F299-5A0B-4E11-8E7E-8E6096DED257}"/>
    <hyperlink ref="F57" location="'Fixed charges'!A4" display="'" xr:uid="{6F668FDB-2760-4551-8FB4-A62189EFB7D0}"/>
    <hyperlink ref="G57" location="'Fixed charges'!$B$14" display="'Fixed charges'!$B$14" xr:uid="{71B746B8-BA6A-4C40-9AAB-AC15874B2BB0}"/>
    <hyperlink ref="F58" location="'Fixed charges'!A4" display="'" xr:uid="{56DBF40E-B3CF-45DA-A037-CA9523B2F161}"/>
    <hyperlink ref="G58" location="'Fixed charges'!$B$65" display="'Fixed charges'!$B$65" xr:uid="{BAC8C5DB-5ED0-4F4C-AF04-84F884B4D547}"/>
    <hyperlink ref="F59" location="'Fixed charge adder'!A4" display="'" xr:uid="{B8D16C89-203F-4112-9B7B-80B9E186867D}"/>
    <hyperlink ref="G59" location="'Fixed charge adder'!$B$12" display="'Fixed charge adder'!$B$12" xr:uid="{402FCA00-1275-4686-835C-635C17687BC9}"/>
    <hyperlink ref="F60" location="'Revenue matching'!A4" display="'" xr:uid="{9AEBA2DD-A700-48E7-A1EF-CD74FBD3329D}"/>
    <hyperlink ref="G60" location="'Revenue matching'!$B$13" display="'Revenue matching'!$B$13" xr:uid="{58BEE042-4F42-4CF4-BB5C-FE90028B88B7}"/>
    <hyperlink ref="F61" location="'Revenue matching'!A4" display="'" xr:uid="{2F0F88FE-9E2E-4204-B9BC-6C8F357A91A3}"/>
    <hyperlink ref="G61" location="'Revenue matching'!$B$86" display="'Revenue matching'!$B$86" xr:uid="{8E0432D0-46B4-4748-A621-3A74F7545D95}"/>
    <hyperlink ref="F62" location="'Revenue matching'!A4" display="'" xr:uid="{B852079B-3332-4FE1-A6AA-32E10EDCB492}"/>
    <hyperlink ref="G62" location="'Revenue matching'!$B$209" display="'Revenue matching'!$B$209" xr:uid="{43F28653-A11C-4252-9AD2-47267946AAF6}"/>
    <hyperlink ref="F63" location="'Revenue matching'!A4" display="'" xr:uid="{DA6C8725-075B-4F5B-A50C-80B0BBAFA839}"/>
    <hyperlink ref="G63" location="'Revenue matching'!$B$407" display="'Revenue matching'!$B$407" xr:uid="{BD9E4209-9E88-4824-B38B-9CBBDEDB20DA}"/>
    <hyperlink ref="F64" location="'Rounding'!A4" display="'" xr:uid="{E511C75F-F19E-4EB7-A5AF-254A3C76CE32}"/>
    <hyperlink ref="G64" location="'Rounding'!$B$12" display="'Rounding'!$B$12" xr:uid="{FDCF3BCE-203B-480A-B90B-256581E0EFA4}"/>
    <hyperlink ref="F65" location="'Rounding'!A4" display="'" xr:uid="{1C644443-5D30-4A47-82BC-A68D8FD82EE5}"/>
    <hyperlink ref="G65" location="'Rounding'!$B$103" display="'Rounding'!$B$103" xr:uid="{79E66659-C6D6-45B1-905B-7976C6358C91}"/>
    <hyperlink ref="F66" location="'Net revenue summary'!A4" display="'" xr:uid="{8109BE9A-44F2-4106-9016-B39539CBFE2B}"/>
    <hyperlink ref="G66" location="'Net revenue summary'!$B$11" display="'Net revenue summary'!$B$11" xr:uid="{3B940DFE-9DB9-4F32-9532-7B1172EF9DA0}"/>
    <hyperlink ref="F67" location="'Net revenue summary'!A4" display="'" xr:uid="{D4DB3FF4-5136-4A56-AC23-4077E100CF49}"/>
    <hyperlink ref="G67" location="'Net revenue summary'!$B$90" display="'Net revenue summary'!$B$90" xr:uid="{11ED6D10-52E4-4A14-95CC-EEC80CB25B7F}"/>
    <hyperlink ref="F68" location="'Net revenue summary'!A4" display="'" xr:uid="{8726EF0B-8AB4-4705-ACA7-B54E4F3441CD}"/>
    <hyperlink ref="G68" location="'Net revenue summary'!$B$150" display="'Net revenue summary'!$B$150" xr:uid="{5EFD7FB6-670D-4D06-983F-19F3BBC1F247}"/>
    <hyperlink ref="F69" location="'Net revenue summary'!A4" display="'" xr:uid="{6B558E56-5588-48E1-8FA9-B6CDD919B903}"/>
    <hyperlink ref="G69" location="'Net revenue summary'!$B$176" display="'Net revenue summary'!$B$176" xr:uid="{669B2C22-6DEB-404B-83EA-894D5CCD6DBF}"/>
    <hyperlink ref="F70" location="'Tariff summary'!A4" display="'" xr:uid="{9EFF5023-B065-4187-AC6F-103D1806E38E}"/>
    <hyperlink ref="G70" location="'Tariff summary'!$B$11" display="'Tariff summary'!$B$11" xr:uid="{31E4ECD2-5654-4402-AD00-AB7A5DEB1CFD}"/>
    <hyperlink ref="F71" location="'Output to other models'!A4" display="'" xr:uid="{7262EE11-0444-4804-81F5-8DA1740FEFFC}"/>
    <hyperlink ref="G71" location="'Output to other models'!$B$12" display="'Output to other models'!$B$12" xr:uid="{6E25ADB3-F357-4849-8EC6-E050AD59B626}"/>
    <hyperlink ref="F72" location="'Output to other models'!A4" display="'" xr:uid="{EEAC4F00-1474-4995-BA79-6FBC7A91638C}"/>
    <hyperlink ref="G72" location="'Output to other models'!$B$25" display="'Output to other models'!$B$25" xr:uid="{125AD224-C4C1-45A9-A4F4-F187F87857D9}"/>
    <hyperlink ref="F73" location="'Output to other models'!A4" display="'" xr:uid="{39578FC9-0485-4DAE-8E89-DA0B9F20C65E}"/>
    <hyperlink ref="G73" location="'Output to other models'!$B$55" display="'Output to other models'!$B$55" xr:uid="{F8AFDA3A-85E6-4857-ABFF-5418FE5E662E}"/>
    <hyperlink ref="F80" location="'Fixed inputs'!A4" display="'" xr:uid="{C684D660-9803-4FFB-A2E4-E44AB253D3D9}"/>
    <hyperlink ref="G80" location="'Fixed inputs'!$C$13" display="'Fixed inputs'!$C$13" xr:uid="{8A97103E-33AC-4EC0-BA7D-D57DDC4FD0CC}"/>
    <hyperlink ref="F81" location="'Fixed inputs'!A4" display="'" xr:uid="{45D63666-2A79-4B38-A11F-F433D1521EAA}"/>
    <hyperlink ref="G81" location="'Fixed inputs'!$C$20" display="'Fixed inputs'!$C$20" xr:uid="{6F2976E4-D6A2-4C98-98EC-F9FB84639C2C}"/>
    <hyperlink ref="F82" location="'Fixed inputs'!A4" display="'" xr:uid="{5D22A57C-D182-4740-A55D-341361303AF8}"/>
    <hyperlink ref="G82" location="'Fixed inputs'!$C$33" display="'Fixed inputs'!$C$33" xr:uid="{9C76274A-9864-4BFF-AD83-FD962E63C675}"/>
    <hyperlink ref="F83" location="'Fixed inputs'!A4" display="'" xr:uid="{6C0E6818-4A0A-48FD-992B-E171F9C3ED40}"/>
    <hyperlink ref="G83" location="'Fixed inputs'!$C$43" display="'Fixed inputs'!$C$43" xr:uid="{52E2A909-9CC6-49D2-A1AA-F928F84D562C}"/>
    <hyperlink ref="F84" location="'Fixed inputs'!A4" display="'" xr:uid="{FFC8D6AF-5B32-47B9-B35C-A8D3AC36EA5F}"/>
    <hyperlink ref="G84" location="'Fixed inputs'!$C$84" display="'Fixed inputs'!$C$84" xr:uid="{085B74FA-C2F3-4FD3-AEB3-5014AC1EC3BE}"/>
    <hyperlink ref="F85" location="'Fixed inputs'!A4" display="'" xr:uid="{42640CA3-C49E-4144-AC87-1E5D2138CF9F}"/>
    <hyperlink ref="G85" location="'Fixed inputs'!$C$99" display="'Fixed inputs'!$C$99" xr:uid="{7FE6C126-0B76-495F-A938-53D05FD5C51C}"/>
    <hyperlink ref="F86" location="'Fixed inputs'!A4" display="'" xr:uid="{EEC05641-D542-4DC7-BD99-AB2050331D4C}"/>
    <hyperlink ref="G86" location="'Fixed inputs'!$C$141" display="'Fixed inputs'!$C$141" xr:uid="{3FFD99F8-176C-4AE8-A33A-D8AE401BA762}"/>
    <hyperlink ref="F87" location="'Fixed inputs'!A4" display="'" xr:uid="{5A916A8E-2DBB-47C7-BC53-6590CD7609F0}"/>
    <hyperlink ref="G87" location="'Fixed inputs'!$C$151" display="'Fixed inputs'!$C$151" xr:uid="{611FA60C-34BB-494F-ADBE-0F8AEB72D9F2}"/>
    <hyperlink ref="F88" location="'Fixed inputs'!A4" display="'" xr:uid="{F1C32366-BA4D-4C19-9EFD-F9215113AE9B}"/>
    <hyperlink ref="G88" location="'Fixed inputs'!$C$155" display="'Fixed inputs'!$C$155" xr:uid="{EE4AD9EB-3BAA-4813-B0F0-4EF2756B131C}"/>
    <hyperlink ref="F89" location="'Fixed inputs'!A4" display="'" xr:uid="{4249DE6D-0332-43F6-8048-CB36B884140D}"/>
    <hyperlink ref="G89" location="'Fixed inputs'!$C$161" display="'Fixed inputs'!$C$161" xr:uid="{24916832-A206-4F22-B70C-AE4AD5BB26FE}"/>
    <hyperlink ref="F90" location="'Inputs by customer type'!A4" display="'" xr:uid="{7039D732-F6A7-4A62-8DE6-8368ACD3216D}"/>
    <hyperlink ref="G90" location="'Inputs by customer type'!$C$13" display="'Inputs by customer type'!$C$13" xr:uid="{A190D302-7E42-4E64-987F-5BDA58857575}"/>
    <hyperlink ref="F91" location="'Inputs by customer type'!A4" display="'" xr:uid="{FA626639-5797-4877-90D6-3EDB9288AB92}"/>
    <hyperlink ref="G91" location="'Inputs by customer type'!$C$18" display="'Inputs by customer type'!$C$18" xr:uid="{B0A274EF-AE62-40EB-82A9-5CB70A9EF8FF}"/>
    <hyperlink ref="F92" location="'Inputs by customer type'!A4" display="'" xr:uid="{6C21984B-7AE9-4196-AE38-CFE9526B8F56}"/>
    <hyperlink ref="G92" location="'Inputs by customer type'!$C$163" display="'Inputs by customer type'!$C$163" xr:uid="{23F30314-E200-4F36-BA70-F59FB3F8B3F3}"/>
    <hyperlink ref="F93" location="'Inputs by customer type'!A4" display="'" xr:uid="{DF99229E-D275-4B7D-909F-9242AE2232B0}"/>
    <hyperlink ref="G93" location="'Inputs by customer type'!$C$180" display="'Inputs by customer type'!$C$180" xr:uid="{BFC120DF-D2CC-437A-82F3-17BDB6708AB4}"/>
    <hyperlink ref="F94" location="'Inputs by customer type'!A4" display="'" xr:uid="{4BA70F0A-3362-4ED8-A345-8A743D51F36C}"/>
    <hyperlink ref="G94" location="'Inputs by customer type'!$C$189" display="'Inputs by customer type'!$C$189" xr:uid="{8BC79AAA-8EF8-4711-A63A-ADD33B19228B}"/>
    <hyperlink ref="F95" location="'Inputs by customer type'!A4" display="'" xr:uid="{EF2E0843-4C88-4C68-BFAF-844B8CE42DA4}"/>
    <hyperlink ref="G95" location="'Inputs by customer type'!$C$203" display="'Inputs by customer type'!$C$203" xr:uid="{2E36D0C8-984B-41B0-851E-D4141C5D8581}"/>
    <hyperlink ref="F96" location="'Inputs by network level'!A4" display="'" xr:uid="{E70413F9-D5EF-4040-98AF-1594F439EA9B}"/>
    <hyperlink ref="G96" location="'Inputs by network level'!$C$13" display="'Inputs by network level'!$C$13" xr:uid="{DBABFE93-1C99-4604-8331-8EF68564C54D}"/>
    <hyperlink ref="F97" location="'Inputs by network level'!A4" display="'" xr:uid="{C3F8C5B4-406D-431B-99DA-19A5A8788EBB}"/>
    <hyperlink ref="G97" location="'Inputs by network level'!$C$23" display="'Inputs by network level'!$C$23" xr:uid="{2EE22D3E-4E50-481A-ABE5-D9A8E9698E32}"/>
    <hyperlink ref="F98" location="'Inputs by network level'!A4" display="'" xr:uid="{83D966D1-32DE-4DB7-82EE-1C057C052803}"/>
    <hyperlink ref="G98" location="'Inputs by network level'!$C$31" display="'Inputs by network level'!$C$31" xr:uid="{BB71F935-9CDE-46ED-9276-A15D27D8B28F}"/>
    <hyperlink ref="F99" location="'Inputs by network level'!A4" display="'" xr:uid="{3BCBDBF6-4627-4A53-9CEF-3163DD324895}"/>
    <hyperlink ref="G99" location="'Inputs by network level'!$C$35" display="'Inputs by network level'!$C$35" xr:uid="{EF9B5C32-64B6-4009-B922-4A8BD9668C31}"/>
    <hyperlink ref="F100" location="'General inputs'!A4" display="'" xr:uid="{8B7A2407-01D3-44A9-B7CD-914C8DABCBF5}"/>
    <hyperlink ref="G100" location="'General inputs'!$C$13" display="'General inputs'!$C$13" xr:uid="{9DE87C38-8F5B-468A-ADED-864C877AB271}"/>
    <hyperlink ref="F101" location="'General inputs'!A4" display="'" xr:uid="{6807EE2E-7B14-4693-A2BE-64A6F7EDC549}"/>
    <hyperlink ref="G101" location="'General inputs'!$C$25" display="'General inputs'!$C$25" xr:uid="{A98F734B-D950-46A3-B07C-808555DAC62A}"/>
    <hyperlink ref="F102" location="'General inputs'!A4" display="'" xr:uid="{6E2B017C-6F1A-4B19-B51A-F84D0ADC1FE6}"/>
    <hyperlink ref="G102" location="'General inputs'!$C$35" display="'General inputs'!$C$35" xr:uid="{30AD623D-DE44-480E-B1AD-E857BC58F774}"/>
    <hyperlink ref="F103" location="'General inputs'!A4" display="'" xr:uid="{ABA25089-2F25-4E0F-A4D3-A5F0DEB299AF}"/>
    <hyperlink ref="G103" location="'General inputs'!$C$89" display="'General inputs'!$C$89" xr:uid="{430094A6-E619-4A24-AF09-83DA1C364061}"/>
    <hyperlink ref="F104" location="'General inputs'!A4" display="'" xr:uid="{ABA5C04A-3A62-4E77-8D4D-E178069B9441}"/>
    <hyperlink ref="G104" location="'General inputs'!$C$95" display="'General inputs'!$C$95" xr:uid="{32C4960D-4666-45B9-B7F1-BE24D00E1C92}"/>
    <hyperlink ref="F105" location="'General inputs'!A4" display="'" xr:uid="{1C1C7FAB-9F1D-4C25-B486-043CAFB89F3B}"/>
    <hyperlink ref="G105" location="'General inputs'!$C$99" display="'General inputs'!$C$99" xr:uid="{87C7FE1E-61FA-4B91-9040-1381E929AE6B}"/>
    <hyperlink ref="F106" location="'Standing charge factors'!A4" display="'" xr:uid="{AD1D4273-3C7D-436A-A6C4-B41EB58FAD24}"/>
    <hyperlink ref="G106" location="'Standing charge factors'!$C$19" display="'Standing charge factors'!$C$19" xr:uid="{93AC74BA-9FC9-4707-A832-7D2788B64248}"/>
    <hyperlink ref="F107" location="'Load &amp; loss characteristics'!A4" display="'" xr:uid="{0AD18865-7613-4849-B451-07D844DCB978}"/>
    <hyperlink ref="G107" location="'Load &amp; loss characteristics'!$C$17" display="'Load &amp; loss characteristics'!$C$17" xr:uid="{024D0645-D70D-4EBF-893C-0CBD25253080}"/>
    <hyperlink ref="F108" location="'Load &amp; loss characteristics'!A4" display="'" xr:uid="{D3F0B05A-7D31-4A49-9E22-3CB0BD2DE79B}"/>
    <hyperlink ref="G108" location="'Load &amp; loss characteristics'!$C$25" display="'Load &amp; loss characteristics'!$C$25" xr:uid="{A1A9E8A9-77AB-4C27-9567-A0DF2434FF82}"/>
    <hyperlink ref="F109" location="'Load &amp; loss characteristics'!A4" display="'" xr:uid="{A164D336-495F-4EEB-87FA-F01F3EAAC448}"/>
    <hyperlink ref="G109" location="'Load &amp; loss characteristics'!$C$35" display="'Load &amp; loss characteristics'!$C$35" xr:uid="{B3245B98-8B09-403C-9707-4ED7CA11C078}"/>
    <hyperlink ref="F110" location="'Load &amp; loss characteristics'!A4" display="'" xr:uid="{C297D998-5876-40F9-91DF-9550CBCACB69}"/>
    <hyperlink ref="G110" location="'Load &amp; loss characteristics'!$C$40" display="'Load &amp; loss characteristics'!$C$40" xr:uid="{D0050EA0-C2EE-433D-B1AA-4B22618ECB5F}"/>
    <hyperlink ref="F111" location="'Load &amp; loss characteristics'!A4" display="'" xr:uid="{8EA41CE9-599A-4CF8-82CA-DF18D4C994D9}"/>
    <hyperlink ref="G111" location="'Load &amp; loss characteristics'!$C$121" display="'Load &amp; loss characteristics'!$C$121" xr:uid="{AAA38445-D810-442B-9E9C-51DBB5D0760F}"/>
    <hyperlink ref="F112" location="'Customer contributions'!A4" display="'" xr:uid="{D0F0F66B-300B-4361-900B-9AF8D91E7430}"/>
    <hyperlink ref="G112" location="'Customer contributions'!$C$16" display="'Customer contributions'!$C$16" xr:uid="{AE3FB40F-2845-478D-BAB5-C16D6CB0BC3E}"/>
    <hyperlink ref="F113" location="'Customer contributions'!A4" display="'" xr:uid="{DB91A7E9-D956-49BE-B5BC-8A2CC1347685}"/>
    <hyperlink ref="G113" location="'Customer contributions'!$C$38" display="'Customer contributions'!$C$38" xr:uid="{E8376F3F-4DCC-4680-A830-F9B9426FC108}"/>
    <hyperlink ref="F114" location="'Volume adjustments'!A4" display="'" xr:uid="{7E11E3BB-4671-4505-8DAD-6CE61EF57563}"/>
    <hyperlink ref="G114" location="'Volume adjustments'!$C$15" display="'Volume adjustments'!$C$15" xr:uid="{10C40175-DA47-4988-9D0B-41A9ED2FB9E9}"/>
    <hyperlink ref="F115" location="'Volume adjustments'!A4" display="'" xr:uid="{A74CFD42-B10C-4363-92A2-EFD063C5C3F8}"/>
    <hyperlink ref="G115" location="'Volume adjustments'!$C$53" display="'Volume adjustments'!$C$53" xr:uid="{F34EB4DF-483E-46AD-97D8-F87456D89297}"/>
    <hyperlink ref="F116" location="'Volume adjustments'!A4" display="'" xr:uid="{66C6AE27-F7D4-45C9-9A4A-8FFDAC9A0DAC}"/>
    <hyperlink ref="G116" location="'Volume adjustments'!$C$225" display="'Volume adjustments'!$C$225" xr:uid="{96CDCF6E-6EA4-4DAF-B23B-B817DC284E02}"/>
    <hyperlink ref="F117" location="'Volume adjustments'!A4" display="'" xr:uid="{E6AC63E7-9FC4-4A81-9FF1-F42C52699979}"/>
    <hyperlink ref="G117" location="'Volume adjustments'!$C$332" display="'Volume adjustments'!$C$332" xr:uid="{B15F8376-5721-4023-9A49-5635714424C9}"/>
    <hyperlink ref="F118" location="'Volume adjustments'!A4" display="'" xr:uid="{B73E5EB9-2E78-4BCD-8205-9E710A1FACBC}"/>
    <hyperlink ref="G118" location="'Volume adjustments'!$C$361" display="'Volume adjustments'!$C$361" xr:uid="{7D655B84-5679-46D4-AAC1-70108E28FB09}"/>
    <hyperlink ref="F119" location="'Volume adjustments'!A4" display="'" xr:uid="{61430F8C-2E76-424E-BB8D-A4CF04C58C38}"/>
    <hyperlink ref="G119" location="'Volume adjustments'!$C$390" display="'Volume adjustments'!$C$390" xr:uid="{B711F22B-74A8-47FC-AD01-7DB731F7EF7D}"/>
    <hyperlink ref="F120" location="'Volume adjustments'!A4" display="'" xr:uid="{62575D58-2AC4-49D1-A49A-859373F0B1DC}"/>
    <hyperlink ref="G120" location="'Volume adjustments'!$C$419" display="'Volume adjustments'!$C$419" xr:uid="{32251F9E-B091-401D-AE7E-3C2124312164}"/>
    <hyperlink ref="F121" location="'Volume adjustments'!A4" display="'" xr:uid="{A86CA53E-7B5C-4B3D-9F26-3ADCD87E335F}"/>
    <hyperlink ref="G121" location="'Volume adjustments'!$C$448" display="'Volume adjustments'!$C$448" xr:uid="{2DBA3567-1D58-47A1-9B66-459D7574BEFE}"/>
    <hyperlink ref="F122" location="'Volume adjustments'!A4" display="'" xr:uid="{BBB5890C-584E-482B-818C-18669A273781}"/>
    <hyperlink ref="G122" location="'Volume adjustments'!$C$477" display="'Volume adjustments'!$C$477" xr:uid="{3E190A3F-6A0E-434D-BF3B-730231D1BC18}"/>
    <hyperlink ref="F123" location="'Volume adjustments'!A4" display="'" xr:uid="{A366AC72-80BC-4AFA-9D08-ED5CA1BAC5C7}"/>
    <hyperlink ref="G123" location="'Volume adjustments'!$C$523" display="'Volume adjustments'!$C$523" xr:uid="{5681C80E-5D90-43C6-8AE3-EEA6BC8A757B}"/>
    <hyperlink ref="F124" location="'Volume adjustments'!A4" display="'" xr:uid="{30BB3C73-F4CF-48E5-90A5-FF3A8ADC0F14}"/>
    <hyperlink ref="G124" location="'Volume adjustments'!$C$657" display="'Volume adjustments'!$C$657" xr:uid="{5D3BEB45-A486-4E0B-83F6-EC3EB5C2B8C4}"/>
    <hyperlink ref="F125" location="'Pseudo-load coefficients'!A4" display="'" xr:uid="{5175AB58-2618-44B0-9C85-B77397D8C39C}"/>
    <hyperlink ref="G125" location="'Pseudo-load coefficients'!$C$18" display="'Pseudo-load coefficients'!$C$18" xr:uid="{D5F8BC47-220C-4E22-8078-7755C47F7A38}"/>
    <hyperlink ref="F126" location="'Pseudo-load coefficients'!A4" display="'" xr:uid="{DB7D8B20-430A-4B8D-A220-DDC5837E86AF}"/>
    <hyperlink ref="G126" location="'Pseudo-load coefficients'!$C$28" display="'Pseudo-load coefficients'!$C$28" xr:uid="{7C36932F-F621-44B6-8F6C-2177F6B8500B}"/>
    <hyperlink ref="F127" location="'Pseudo-load coefficients'!A4" display="'" xr:uid="{B9418E6E-2546-4CC9-B477-DAAE28C02D7D}"/>
    <hyperlink ref="G127" location="'Pseudo-load coefficients'!$C$36" display="'Pseudo-load coefficients'!$C$36" xr:uid="{6B6054A3-D80A-45A0-AC70-8D996D2D0FD6}"/>
    <hyperlink ref="F128" location="'Pseudo-load coefficients'!A4" display="'" xr:uid="{1AE9D134-34D7-4463-8C0A-7E8D11CBA3AF}"/>
    <hyperlink ref="G128" location="'Pseudo-load coefficients'!$C$52" display="'Pseudo-load coefficients'!$C$52" xr:uid="{46D67990-A817-47B1-AADE-DAB93E7D7D65}"/>
    <hyperlink ref="F129" location="'Pseudo-load coefficients'!A4" display="'" xr:uid="{4092C150-A042-485C-AC0B-04D4C0B828F2}"/>
    <hyperlink ref="G129" location="'Pseudo-load coefficients'!$C$60" display="'Pseudo-load coefficients'!$C$60" xr:uid="{4CE74AF4-0CA4-4146-85C7-CA39384037A0}"/>
    <hyperlink ref="F130" location="'Pseudo-load coefficients'!A4" display="'" xr:uid="{D046038B-0F41-4CFD-BABA-25DA9B7A02C7}"/>
    <hyperlink ref="G130" location="'Pseudo-load coefficients'!$C$65" display="'Pseudo-load coefficients'!$C$65" xr:uid="{2CE2DF3D-5542-4087-BB46-8B266487C8A7}"/>
    <hyperlink ref="F131" location="'Pseudo-load coefficients'!A4" display="'" xr:uid="{220CE728-7579-4890-BB4C-3859A781FCDB}"/>
    <hyperlink ref="G131" location="'Pseudo-load coefficients'!$C$87" display="'Pseudo-load coefficients'!$C$87" xr:uid="{0589CBA8-A91E-4877-AACC-CE2881D8405D}"/>
    <hyperlink ref="F132" location="'Pseudo-load coefficients'!A4" display="'" xr:uid="{0F587661-2B8D-4C47-965A-54CFA4012922}"/>
    <hyperlink ref="G132" location="'Pseudo-load coefficients'!$C$100" display="'Pseudo-load coefficients'!$C$100" xr:uid="{2ED9E4C0-4518-4578-9E87-A3A94BB5F547}"/>
    <hyperlink ref="F133" location="'Pseudo-load coefficients'!A4" display="'" xr:uid="{B7F4BDBD-507D-451A-81E8-98CD6CD20141}"/>
    <hyperlink ref="G133" location="'Pseudo-load coefficients'!$C$174" display="'Pseudo-load coefficients'!$C$174" xr:uid="{045B7C18-C35F-466A-9ACB-F6C335906F82}"/>
    <hyperlink ref="F134" location="'Pseudo-load coefficients'!A4" display="'" xr:uid="{0832D4C3-EBAB-4EAE-9D5F-F736813D2099}"/>
    <hyperlink ref="G134" location="'Pseudo-load coefficients'!$C$221" display="'Pseudo-load coefficients'!$C$221" xr:uid="{67D27B67-8F87-4C95-9D35-6AF8A6B317D7}"/>
    <hyperlink ref="F135" location="'Pseudo-load coefficients'!A4" display="'" xr:uid="{5782B31F-0928-4B28-BF01-39FDF225F680}"/>
    <hyperlink ref="G135" location="'Pseudo-load coefficients'!$C$265" display="'Pseudo-load coefficients'!$C$265" xr:uid="{4EF97159-0048-423D-9B31-A1B6B5237F5F}"/>
    <hyperlink ref="F136" location="'Pseudo-load coefficients'!A4" display="'" xr:uid="{692EE7A4-34C7-42D2-8993-F6909168F537}"/>
    <hyperlink ref="G136" location="'Pseudo-load coefficients'!$C$269" display="'Pseudo-load coefficients'!$C$269" xr:uid="{9CAD7077-3506-4ACF-A2EC-A41DED10C91F}"/>
    <hyperlink ref="F137" location="'System peak demand'!A4" display="'" xr:uid="{0471020C-BB6F-42CF-ADBA-3ECD10725DAD}"/>
    <hyperlink ref="G137" location="'System peak demand'!$C$18" display="'System peak demand'!$C$18" xr:uid="{F3F14DFF-2BF2-4B71-898F-2172A440B57D}"/>
    <hyperlink ref="F138" location="'System peak demand'!A4" display="'" xr:uid="{BAC88908-C66A-467C-A480-B1B894C93F41}"/>
    <hyperlink ref="G138" location="'System peak demand'!$C$67" display="'System peak demand'!$C$67" xr:uid="{47C58A96-0A52-43C3-AC07-4D6AB665F759}"/>
    <hyperlink ref="F139" location="'System peak demand'!A4" display="'" xr:uid="{76D360A2-668B-44ED-A2AA-6758A8B1F3DE}"/>
    <hyperlink ref="G139" location="'System peak demand'!$C$138" display="'System peak demand'!$C$138" xr:uid="{754374FA-89C6-4617-AC04-F6A2754BBC52}"/>
    <hyperlink ref="F140" location="'System peak demand'!A4" display="'" xr:uid="{3EC2C88B-3DAE-40C5-A808-969B0A684FD7}"/>
    <hyperlink ref="G140" location="'System peak demand'!$C$164" display="'System peak demand'!$C$164" xr:uid="{F00FABBB-632A-4B3E-BD49-0DB20D4BAC51}"/>
    <hyperlink ref="F141" location="'System peak demand'!A4" display="'" xr:uid="{243D54AE-7C6E-43E5-8117-6B31760B6A4E}"/>
    <hyperlink ref="G141" location="'System peak demand'!$C$184" display="'System peak demand'!$C$184" xr:uid="{0CEAE8C0-7069-4751-A11E-00098118A110}"/>
    <hyperlink ref="F142" location="'System peak demand'!A4" display="'" xr:uid="{A9470B24-BD3C-4EA1-8347-3DF6DEBE0D8F}"/>
    <hyperlink ref="G142" location="'System peak demand'!$C$194" display="'System peak demand'!$C$194" xr:uid="{D4ACF8AB-7486-4260-852C-FA7F23DC9659}"/>
    <hyperlink ref="F143" location="'System peak demand'!A4" display="'" xr:uid="{7CCDC9D0-3A55-4068-A36E-E5CF2FA54DB4}"/>
    <hyperlink ref="G143" location="'System peak demand'!$C$236" display="'System peak demand'!$C$236" xr:uid="{2EB75E4F-E475-4E23-B001-4F8F2E1ACFFF}"/>
    <hyperlink ref="F144" location="'System peak demand'!A4" display="'" xr:uid="{342FAD2E-296C-4FC2-800F-4B9112C137C3}"/>
    <hyperlink ref="G144" location="'System peak demand'!$C$249" display="'System peak demand'!$C$249" xr:uid="{4FCC71AD-0172-443B-B28F-98A78F4D3CDA}"/>
    <hyperlink ref="F145" location="'System peak demand'!A4" display="'" xr:uid="{BC6B6A64-5D64-4C3A-8955-29DD9F98989F}"/>
    <hyperlink ref="G145" location="'System peak demand'!$C$266" display="'System peak demand'!$C$266" xr:uid="{5EA58EE4-5D19-4F88-98AA-FC823F9CC639}"/>
    <hyperlink ref="F146" location="'Service model assets'!A4" display="'" xr:uid="{986AE181-9446-403E-8171-FE17B8D656B5}"/>
    <hyperlink ref="G146" location="'Service model assets'!$C$14" display="'Service model assets'!$C$14" xr:uid="{D2B7E6B8-1509-4348-86B2-415F08522F97}"/>
    <hyperlink ref="F147" location="'Unit costs'!A4" display="'" xr:uid="{5769A8B8-6535-4475-AAAB-0BB37707A423}"/>
    <hyperlink ref="G147" location="'Unit costs'!$C$19" display="'Unit costs'!$C$19" xr:uid="{9B50D869-3B4C-4FC9-83BB-4BBB037AB689}"/>
    <hyperlink ref="F148" location="'Unit costs'!A4" display="'" xr:uid="{96354F94-3DA7-4C98-8124-EBD32EEC7ABB}"/>
    <hyperlink ref="G148" location="'Unit costs'!$C$27" display="'Unit costs'!$C$27" xr:uid="{3BE3083D-E5F4-44E5-8D62-2806437B5C85}"/>
    <hyperlink ref="F149" location="'Unit costs'!A4" display="'" xr:uid="{D500ADE3-2B77-4068-8E16-FF49C835AEF4}"/>
    <hyperlink ref="G149" location="'Unit costs'!$C$35" display="'Unit costs'!$C$35" xr:uid="{1705B284-B988-4698-9477-496AD5DB6911}"/>
    <hyperlink ref="F150" location="'Unit costs'!A4" display="'" xr:uid="{C9F93476-20C7-4AFD-BA11-058662673F53}"/>
    <hyperlink ref="G150" location="'Unit costs'!$C$42" display="'Unit costs'!$C$42" xr:uid="{F608BB01-DE37-402C-B091-98E797183351}"/>
    <hyperlink ref="F151" location="'Unit costs'!A4" display="'" xr:uid="{16F1254E-53CA-4876-89AD-29A80DF33BEC}"/>
    <hyperlink ref="G151" location="'Unit costs'!$C$50" display="'Unit costs'!$C$50" xr:uid="{B2876C9B-FEE1-419C-B62F-BAE9AB0EDC15}"/>
    <hyperlink ref="F152" location="'Unit costs'!A4" display="'" xr:uid="{19AA2758-FB30-4FCD-8113-C6651C460515}"/>
    <hyperlink ref="G152" location="'Unit costs'!$C$62" display="'Unit costs'!$C$62" xr:uid="{42AACE2E-863D-4FF8-8DCF-B60D61E12B32}"/>
    <hyperlink ref="F153" location="'Unit costs'!A4" display="'" xr:uid="{9C24E948-FB69-40AC-862D-699BF74D96AE}"/>
    <hyperlink ref="G153" location="'Unit costs'!$C$69" display="'Unit costs'!$C$69" xr:uid="{BB2FB7FE-1326-45BE-BA64-B12206F970F2}"/>
    <hyperlink ref="F154" location="'Unit costs'!A4" display="'" xr:uid="{94628573-B823-469D-8695-7DE41F3C8E6A}"/>
    <hyperlink ref="G154" location="'Unit costs'!$C$80" display="'Unit costs'!$C$80" xr:uid="{5133C295-96D8-4DDB-98AC-0E1AC5FFEB52}"/>
    <hyperlink ref="F155" location="'Unit costs'!A4" display="'" xr:uid="{57ED3F67-E6C4-4DFC-8BD7-FBB1F4904F91}"/>
    <hyperlink ref="G155" location="'Unit costs'!$C$92" display="'Unit costs'!$C$92" xr:uid="{EED75984-2D37-496D-989E-774E0523F3E6}"/>
    <hyperlink ref="F156" location="'Unit costs'!A4" display="'" xr:uid="{C5F56464-07DC-43BF-9C35-C5DDD1E0D38D}"/>
    <hyperlink ref="G156" location="'Unit costs'!$C$104" display="'Unit costs'!$C$104" xr:uid="{A5FFD3BB-EDC3-406D-8CD2-4F6BC7D8719A}"/>
    <hyperlink ref="F157" location="'Unit costs'!A4" display="'" xr:uid="{744ED611-479D-4DB5-B9F6-B96CBB9288D4}"/>
    <hyperlink ref="G157" location="'Unit costs'!$C$110" display="'Unit costs'!$C$110" xr:uid="{F69C4111-9AF5-425A-A0CA-B670B6FE4C52}"/>
    <hyperlink ref="F158" location="'Unit costs'!A4" display="'" xr:uid="{7D87DB84-8F24-4196-B954-A2F83BFE484C}"/>
    <hyperlink ref="G158" location="'Unit costs'!$C$117" display="'Unit costs'!$C$117" xr:uid="{0C53D36C-5859-4E07-B3DD-BDB98CC6E43D}"/>
    <hyperlink ref="F159" location="'Initial unit rates'!A4" display="'" xr:uid="{59C7DC27-CFF0-4C31-9F6A-4DC0D212437E}"/>
    <hyperlink ref="G159" location="'Initial unit rates'!$C$13" display="'Initial unit rates'!$C$13" xr:uid="{2451CA3F-DC26-406B-A165-35FCEE98C8E2}"/>
    <hyperlink ref="F160" location="'Initial unit rates'!A4" display="'" xr:uid="{CF8E0725-92BE-48E5-AF7B-C60B0D137B25}"/>
    <hyperlink ref="G160" location="'Initial unit rates'!$C$118" display="'Initial unit rates'!$C$118" xr:uid="{4F62C68C-4D5F-40D5-9F9E-11A95B8709B7}"/>
    <hyperlink ref="F161" location="'Initial unit rates'!A4" display="'" xr:uid="{D93FFE86-68CF-46CE-B424-B7C5305007B7}"/>
    <hyperlink ref="G161" location="'Initial unit rates'!$C$146" display="'Initial unit rates'!$C$146" xr:uid="{04192BA5-B6B4-4AE6-BA19-520CD138855B}"/>
    <hyperlink ref="F162" location="'Initial unit rates'!A4" display="'" xr:uid="{84D1C235-2FEB-483C-A0DF-73FE2162DE81}"/>
    <hyperlink ref="G162" location="'Initial unit rates'!$C$175" display="'Initial unit rates'!$C$175" xr:uid="{38819C42-7472-4CC2-BAD5-1122DEB66AF2}"/>
    <hyperlink ref="F163" location="'Initial unit rates'!A4" display="'" xr:uid="{68AC2795-458E-4923-86A9-E79C69E90CDA}"/>
    <hyperlink ref="G163" location="'Initial unit rates'!$C$204" display="'Initial unit rates'!$C$204" xr:uid="{375E90D4-987E-4BF9-9F25-BA7201CDCB1F}"/>
    <hyperlink ref="F164" location="'Service model charges'!A4" display="'" xr:uid="{4E061E03-C219-408D-BD39-C4500D5D812D}"/>
    <hyperlink ref="G164" location="'Service model charges'!$C$17" display="'Service model charges'!$C$17" xr:uid="{9C765B1A-D52B-41A1-B506-57C3B40A7B6E}"/>
    <hyperlink ref="F165" location="'Service model charges'!A4" display="'" xr:uid="{903EA95F-C2F8-4D18-B48F-0DD598193ED6}"/>
    <hyperlink ref="G165" location="'Service model charges'!$C$33" display="'Service model charges'!$C$33" xr:uid="{6D314F3E-67D5-4BF3-AB84-07622C9325F4}"/>
    <hyperlink ref="F166" location="'Service model charges'!A4" display="'" xr:uid="{276D93D5-B157-41E1-8364-71BCC4C1C6F9}"/>
    <hyperlink ref="G166" location="'Service model charges'!$C$37" display="'Service model charges'!$C$37" xr:uid="{72FD7CE0-F9B0-410E-9A63-2E5254A8C700}"/>
    <hyperlink ref="F167" location="'Unit rate charges'!A4" display="'" xr:uid="{53267D5C-9B52-4A8D-9EF2-DA4D11503371}"/>
    <hyperlink ref="G167" location="'Unit rate charges'!$C$19" display="'Unit rate charges'!$C$19" xr:uid="{3A767284-94C4-4DE0-9736-0C697521F4F8}"/>
    <hyperlink ref="F168" location="'Unit rate charges'!A4" display="'" xr:uid="{D510CB5F-AB7C-4C53-8BEB-A514B11F34B5}"/>
    <hyperlink ref="G168" location="'Unit rate charges'!$C$49" display="'Unit rate charges'!$C$49" xr:uid="{19ED1B28-B20F-4B03-99AB-2863DD64C3F7}"/>
    <hyperlink ref="F169" location="'Unit rate charges'!A4" display="'" xr:uid="{DE87EC38-BEFE-4F20-B7AC-B1F764253AD8}"/>
    <hyperlink ref="G169" location="'Unit rate charges'!$C$79" display="'Unit rate charges'!$C$79" xr:uid="{E08323BE-5968-495C-9548-8230521B2DC7}"/>
    <hyperlink ref="F170" location="'Unit rate charges'!A4" display="'" xr:uid="{084665F1-0713-4931-8825-974B4194256E}"/>
    <hyperlink ref="G170" location="'Unit rate charges'!$C$109" display="'Unit rate charges'!$C$109" xr:uid="{84F95C52-AE98-4D6E-8AE4-6B0FA5485FF6}"/>
    <hyperlink ref="F171" location="'Unit rate charges'!A4" display="'" xr:uid="{164FF265-4DBF-4643-9807-11393CFB7989}"/>
    <hyperlink ref="G171" location="'Unit rate charges'!$C$124" display="'Unit rate charges'!$C$124" xr:uid="{31AD7EFC-AA9C-4847-A0DB-9287F2D75AF9}"/>
    <hyperlink ref="F172" location="'Unit rate charges'!A4" display="'" xr:uid="{A7C6D47E-6BF7-4AC2-AC79-7487BACAE750}"/>
    <hyperlink ref="G172" location="'Unit rate charges'!$C$154" display="'Unit rate charges'!$C$154" xr:uid="{12E3E54A-2B5C-4F6E-A8FA-D34499D88411}"/>
    <hyperlink ref="F173" location="'Unit rate charges'!A4" display="'" xr:uid="{3737F876-2037-4432-B1B8-20AFC8CAF949}"/>
    <hyperlink ref="G173" location="'Unit rate charges'!$C$184" display="'Unit rate charges'!$C$184" xr:uid="{3198C000-F934-4B17-B707-4CC5529C49FF}"/>
    <hyperlink ref="F174" location="'Unit rate charges'!A4" display="'" xr:uid="{0CC78659-5195-4116-A661-18BA710B1859}"/>
    <hyperlink ref="G174" location="'Unit rate charges'!$C$214" display="'Unit rate charges'!$C$214" xr:uid="{61172984-0196-49D9-802C-AC6C6835D01D}"/>
    <hyperlink ref="F175" location="'Capacity charges'!A4" display="'" xr:uid="{22AA018A-E9AB-4A7F-BBD3-34B8A2A3C96B}"/>
    <hyperlink ref="G175" location="'Capacity charges'!$C$19" display="'Capacity charges'!$C$19" xr:uid="{813C4BF4-3BBC-4AEC-AA2E-20EE6AD6DF9C}"/>
    <hyperlink ref="F176" location="'Capacity charges'!A4" display="'" xr:uid="{0CDF3753-F23A-4E5E-914B-FDED0A11517F}"/>
    <hyperlink ref="G176" location="'Capacity charges'!$C$129" display="'Capacity charges'!$C$129" xr:uid="{63D5D977-8AB6-4073-B29A-CAB64D5C02F6}"/>
    <hyperlink ref="F177" location="'Capacity charges'!A4" display="'" xr:uid="{A37D7F1E-ACF3-4F7A-8191-EFE1FFF8AC3A}"/>
    <hyperlink ref="G177" location="'Capacity charges'!$C$159" display="'Capacity charges'!$C$159" xr:uid="{395CB8BC-467E-4402-9D85-7D78D6C81F8B}"/>
    <hyperlink ref="F178" location="'Capacity charges'!A4" display="'" xr:uid="{42FF5651-87E2-4B5B-B060-F72A42CCFF3F}"/>
    <hyperlink ref="G178" location="'Capacity charges'!$C$189" display="'Capacity charges'!$C$189" xr:uid="{BE70F232-A2B6-495E-9735-70C54A25884B}"/>
    <hyperlink ref="F179" location="'Capacity charges'!A4" display="'" xr:uid="{CD48AC34-5C2F-42CA-A041-153463A8AF94}"/>
    <hyperlink ref="G179" location="'Capacity charges'!$C$219" display="'Capacity charges'!$C$219" xr:uid="{13B197BD-B80E-4EC5-B8B3-FF6172613DB4}"/>
    <hyperlink ref="F180" location="'Capacity charges'!A4" display="'" xr:uid="{DF0F48DF-D8B1-494B-B005-3D4D74FCC070}"/>
    <hyperlink ref="G180" location="'Capacity charges'!$C$254" display="'Capacity charges'!$C$254" xr:uid="{10CAAED2-07EB-482D-986A-F1652F6C8943}"/>
    <hyperlink ref="F181" location="'Capacity charges'!A4" display="'" xr:uid="{FDBFB4B4-30C0-4198-A0DC-C379F3E9455C}"/>
    <hyperlink ref="G181" location="'Capacity charges'!$C$259" display="'Capacity charges'!$C$259" xr:uid="{DA2F68F7-80A5-42D0-9970-F1B25E4CEA4E}"/>
    <hyperlink ref="F182" location="'Reactive power charges'!A4" display="'" xr:uid="{8BD61BEF-CDD8-4E56-B27E-0E0F1547B62F}"/>
    <hyperlink ref="G182" location="'Reactive power charges'!$C$17" display="'Reactive power charges'!$C$17" xr:uid="{BA7682A7-2CAD-48AF-BE39-32F54066C565}"/>
    <hyperlink ref="F183" location="'Reactive power charges'!A4" display="'" xr:uid="{C07AF98B-DE02-41A1-A275-2C41A0C66235}"/>
    <hyperlink ref="G183" location="'Reactive power charges'!$C$120" display="'Reactive power charges'!$C$120" xr:uid="{5B3CEE5F-3B0C-45B2-89F0-74A257049380}"/>
    <hyperlink ref="F184" location="'Reactive power charges'!A4" display="'" xr:uid="{D337CEA3-7D14-4116-90C9-E7669C5D2AB5}"/>
    <hyperlink ref="G184" location="'Reactive power charges'!$C$155" display="'Reactive power charges'!$C$155" xr:uid="{81BC9283-79AE-4CD4-94F8-EA8C3C93D615}"/>
    <hyperlink ref="F185" location="'Reactive power charges'!A4" display="'" xr:uid="{BAFD0732-69C9-4EF2-A042-89C9013DE32F}"/>
    <hyperlink ref="G185" location="'Reactive power charges'!$C$190" display="'Reactive power charges'!$C$190" xr:uid="{27B8884A-3A28-4461-BA06-8B0FA67A366D}"/>
    <hyperlink ref="F186" location="'Reactive power charges'!A4" display="'" xr:uid="{9B20CC85-B6FF-44C9-8924-275DA697AD46}"/>
    <hyperlink ref="G186" location="'Reactive power charges'!$C$220" display="'Reactive power charges'!$C$220" xr:uid="{01DC5759-95B3-4389-BDF4-F8B8EB687D4B}"/>
    <hyperlink ref="F187" location="'Fixed charges'!A4" display="'" xr:uid="{5EDF8E4E-87FD-4F6C-8DC1-0368E1CAA22C}"/>
    <hyperlink ref="G187" location="'Fixed charges'!$C$16" display="'Fixed charges'!$C$16" xr:uid="{FD0EFCC6-F436-44C0-8C21-553E1B185F2C}"/>
    <hyperlink ref="F188" location="'Fixed charges'!A4" display="'" xr:uid="{0DD3E84C-55AA-4CFD-9157-19F8B078B3C9}"/>
    <hyperlink ref="G188" location="'Fixed charges'!$C$22" display="'Fixed charges'!$C$22" xr:uid="{D5FEE378-ABCF-46F0-A55F-C560F4989861}"/>
    <hyperlink ref="F189" location="'Fixed charges'!A4" display="'" xr:uid="{115DE3EB-CDCA-458F-8D33-CE46B2EF41FA}"/>
    <hyperlink ref="G189" location="'Fixed charges'!$C$52" display="'Fixed charges'!$C$52" xr:uid="{B26F6810-D3BB-4FC9-B014-31FE75BB3E3A}"/>
    <hyperlink ref="F190" location="'Fixed charges'!A4" display="'" xr:uid="{38ECB69F-9340-4A1E-9D75-D419B45C915C}"/>
    <hyperlink ref="G190" location="'Fixed charges'!$C$58" display="'Fixed charges'!$C$58" xr:uid="{C7B9DAF9-83D3-46A2-A144-8FD8534AF543}"/>
    <hyperlink ref="F191" location="'Fixed charges'!A4" display="'" xr:uid="{FC44EA86-D5FC-41D5-A1C1-4C4FC9BCBC55}"/>
    <hyperlink ref="G191" location="'Fixed charges'!$C$67" display="'Fixed charges'!$C$67" xr:uid="{AC55CE6F-A901-40A5-B36D-71D93E284A60}"/>
    <hyperlink ref="F192" location="'Fixed charges'!A4" display="'" xr:uid="{43CCFCC7-1C5B-422F-A57B-2E520EE8D3B6}"/>
    <hyperlink ref="G192" location="'Fixed charges'!$C$97" display="'Fixed charges'!$C$97" xr:uid="{4BD475BC-2FC2-4C17-B7FC-65D362500B77}"/>
    <hyperlink ref="F193" location="'Fixed charges'!A4" display="'" xr:uid="{CEEF1053-FC79-40F5-AEC6-1951FDC59C59}"/>
    <hyperlink ref="G193" location="'Fixed charges'!$C$127" display="'Fixed charges'!$C$127" xr:uid="{70F50620-369C-4BF5-A140-DC8529B36F45}"/>
    <hyperlink ref="F194" location="'Fixed charges'!A4" display="'" xr:uid="{18AAD19D-5778-4E64-8E4C-CB9A0293A5E6}"/>
    <hyperlink ref="G194" location="'Fixed charges'!$C$159" display="'Fixed charges'!$C$159" xr:uid="{AA579D2F-16BE-4FCA-8348-FDD6BF267886}"/>
    <hyperlink ref="F195" location="'Fixed charge adder'!A4" display="'" xr:uid="{F5CC1D77-0F75-45CC-892E-5D83E7935C56}"/>
    <hyperlink ref="G195" location="'Fixed charge adder'!$C$16" display="'Fixed charge adder'!$C$16" xr:uid="{0B739DA9-9AC0-4D13-8781-1DA1CBD507F0}"/>
    <hyperlink ref="F196" location="'Fixed charge adder'!A4" display="'" xr:uid="{704B1062-232D-47EE-BD47-2480DCD14F99}"/>
    <hyperlink ref="G196" location="'Fixed charge adder'!$C$33" display="'Fixed charge adder'!$C$33" xr:uid="{76C8F9E8-8382-4D2C-B4E1-4916D4F3F0B0}"/>
    <hyperlink ref="F197" location="'Fixed charge adder'!A4" display="'" xr:uid="{96511FFF-F07D-4388-AB12-A4D6FB2E2228}"/>
    <hyperlink ref="G197" location="'Fixed charge adder'!$C$48" display="'Fixed charge adder'!$C$48" xr:uid="{7F9E2DAF-7585-43F2-AAF7-7F7925B6D37A}"/>
    <hyperlink ref="F198" location="'Revenue matching'!A4" display="'" xr:uid="{1DE811D6-1005-4638-AAB9-2C0D67BBA7CE}"/>
    <hyperlink ref="G198" location="'Revenue matching'!$C$15" display="'Revenue matching'!$C$15" xr:uid="{07AEFF53-6685-4663-9387-C159C8BF8D7A}"/>
    <hyperlink ref="F199" location="'Revenue matching'!A4" display="'" xr:uid="{29FF2482-2F6E-43F2-843B-531D37277075}"/>
    <hyperlink ref="G199" location="'Revenue matching'!$C$69" display="'Revenue matching'!$C$69" xr:uid="{E583D98C-0543-405B-9F48-30C043D32E56}"/>
    <hyperlink ref="F200" location="'Revenue matching'!A4" display="'" xr:uid="{1656F26E-517A-4735-8A06-FBC970FDCEEE}"/>
    <hyperlink ref="G200" location="'Revenue matching'!$C$88" display="'Revenue matching'!$C$88" xr:uid="{60AC23F0-09BB-4967-AC85-35C36438AB82}"/>
    <hyperlink ref="F201" location="'Revenue matching'!A4" display="'" xr:uid="{431FB353-2279-48CB-9058-039302316A6B}"/>
    <hyperlink ref="G201" location="'Revenue matching'!$C$151" display="'Revenue matching'!$C$151" xr:uid="{BBB59F2B-8C57-4867-85F4-0E075BED57BD}"/>
    <hyperlink ref="F202" location="'Revenue matching'!A4" display="'" xr:uid="{D8E05DB5-A985-4C8E-87D3-7E89E0E8401A}"/>
    <hyperlink ref="G202" location="'Revenue matching'!$C$159" display="'Revenue matching'!$C$159" xr:uid="{E09F748B-3437-4943-9CFB-C183D6044535}"/>
    <hyperlink ref="F203" location="'Revenue matching'!A4" display="'" xr:uid="{1523CB9E-09F1-4725-8B9A-6F43A17E00B5}"/>
    <hyperlink ref="G203" location="'Revenue matching'!$C$176" display="'Revenue matching'!$C$176" xr:uid="{1A2F1DCA-A464-477A-874A-84C21A753347}"/>
    <hyperlink ref="F204" location="'Revenue matching'!A4" display="'" xr:uid="{93C96573-3273-4AD0-BC74-F378DF0D4157}"/>
    <hyperlink ref="G204" location="'Revenue matching'!$C$192" display="'Revenue matching'!$C$192" xr:uid="{ED1A5AF5-F647-4AF4-A57C-C799148E9BA0}"/>
    <hyperlink ref="F205" location="'Revenue matching'!A4" display="'" xr:uid="{07AA757E-BB30-4D34-9167-4E57AE480402}"/>
    <hyperlink ref="G205" location="'Revenue matching'!$C$200" display="'Revenue matching'!$C$200" xr:uid="{BDC5608C-33A9-4DC9-A534-EBB0DEADD871}"/>
    <hyperlink ref="F206" location="'Revenue matching'!A4" display="'" xr:uid="{92C53F97-1A72-430D-946A-55DDF8AD0F2F}"/>
    <hyperlink ref="G206" location="'Revenue matching'!$C$213" display="'Revenue matching'!$C$213" xr:uid="{1018981D-1B37-41AC-A2EE-EF5EC8706ED6}"/>
    <hyperlink ref="F207" location="'Revenue matching'!A4" display="'" xr:uid="{FA024800-0B17-4D8F-B394-A6712A0563F5}"/>
    <hyperlink ref="G207" location="'Revenue matching'!$C$232" display="'Revenue matching'!$C$232" xr:uid="{5613B6A9-EFE9-4BFB-9A2A-C9028D2CF30B}"/>
    <hyperlink ref="F208" location="'Revenue matching'!A4" display="'" xr:uid="{0EB7B70D-54FF-45BF-B84D-F3F9D128DAA5}"/>
    <hyperlink ref="G208" location="'Revenue matching'!$C$286" display="'Revenue matching'!$C$286" xr:uid="{A0ADBB89-68B7-49EC-A2B4-EF26F0102022}"/>
    <hyperlink ref="F209" location="'Revenue matching'!A4" display="'" xr:uid="{402FE4F2-168E-4785-9841-8C27E2F090A2}"/>
    <hyperlink ref="G209" location="'Revenue matching'!$C$313" display="'Revenue matching'!$C$313" xr:uid="{F834F037-68C4-468E-854C-AFC14C338AC7}"/>
    <hyperlink ref="F210" location="'Revenue matching'!A4" display="'" xr:uid="{2931856C-A0E9-4861-82A1-C39596FEFED5}"/>
    <hyperlink ref="G210" location="'Revenue matching'!$C$345" display="'Revenue matching'!$C$345" xr:uid="{8D4BF9F9-07AA-4C8D-A61C-294FE21000D7}"/>
    <hyperlink ref="F211" location="'Revenue matching'!A4" display="'" xr:uid="{44ACD4CD-B855-4D93-BFB3-0E240AA10E52}"/>
    <hyperlink ref="G211" location="'Revenue matching'!$C$377" display="'Revenue matching'!$C$377" xr:uid="{81E5C9BA-71D3-474B-AB62-336410ADC883}"/>
    <hyperlink ref="F212" location="'Revenue matching'!A4" display="'" xr:uid="{B46083BD-269A-404B-AF45-DFD2510D9463}"/>
    <hyperlink ref="G212" location="'Revenue matching'!$C$409" display="'Revenue matching'!$C$409" xr:uid="{7DA844A7-2B36-41F9-8041-1E7B2927D16D}"/>
    <hyperlink ref="F213" location="'Rounding'!A4" display="'" xr:uid="{74704D73-9DB3-4CD8-8D48-EEC16B9F4B2E}"/>
    <hyperlink ref="G213" location="'Rounding'!$C$16" display="'Rounding'!$C$16" xr:uid="{4D8BFCD3-CB14-4CFF-A942-A72DE084E181}"/>
    <hyperlink ref="F214" location="'Rounding'!A4" display="'" xr:uid="{6D61856D-B87A-46A8-8096-99A4B182888D}"/>
    <hyperlink ref="G214" location="'Rounding'!$C$28" display="'Rounding'!$C$28" xr:uid="{5D607BE5-1AF9-4DB4-AC2E-0BB4299CEC55}"/>
    <hyperlink ref="F215" location="'Rounding'!A4" display="'" xr:uid="{83F7EE74-6FED-429F-8ADE-50CDE9676E38}"/>
    <hyperlink ref="G215" location="'Rounding'!$C$40" display="'Rounding'!$C$40" xr:uid="{D9B6AAC7-5101-4FD4-A900-2B333A97F242}"/>
    <hyperlink ref="F216" location="'Rounding'!A4" display="'" xr:uid="{C30A90D8-E794-405A-B3A9-08C9E49FBFDD}"/>
    <hyperlink ref="G216" location="'Rounding'!$C$52" display="'Rounding'!$C$52" xr:uid="{30CEB20D-E10F-44F1-9798-B6E21FF8F3C8}"/>
    <hyperlink ref="F217" location="'Rounding'!A4" display="'" xr:uid="{AE04A52B-A9B7-48F3-957E-9562A2C4E144}"/>
    <hyperlink ref="G217" location="'Rounding'!$C$92" display="'Rounding'!$C$92" xr:uid="{AB20BDA6-4C7F-43DE-956E-DBB5E0BA8258}"/>
    <hyperlink ref="F218" location="'Rounding'!A4" display="'" xr:uid="{5B0FC362-B5E1-4359-906A-484745214B28}"/>
    <hyperlink ref="G218" location="'Rounding'!$C$107" display="'Rounding'!$C$107" xr:uid="{0F918AB4-C795-49AA-97E9-5FA7AB59B614}"/>
    <hyperlink ref="F219" location="'Rounding'!A4" display="'" xr:uid="{76D1D475-CB70-4F28-9042-72CD4322D440}"/>
    <hyperlink ref="G219" location="'Rounding'!$C$118" display="'Rounding'!$C$118" xr:uid="{EAE40864-823C-4CFF-A53A-54F5D3A1D338}"/>
    <hyperlink ref="F220" location="'Rounding'!A4" display="'" xr:uid="{0181A08F-8361-42D7-AFCC-FF53BE12A5EA}"/>
    <hyperlink ref="G220" location="'Rounding'!$C$147" display="'Rounding'!$C$147" xr:uid="{4B447C77-9EA3-4ABA-81F1-39516D449226}"/>
    <hyperlink ref="F221" location="'Net revenue summary'!A4" display="'" xr:uid="{C7DDB504-D2D1-463C-B328-AE718DECB050}"/>
    <hyperlink ref="G221" location="'Net revenue summary'!$C$13" display="'Net revenue summary'!$C$13" xr:uid="{F9997820-CACB-4AE4-BBCB-E106A0AF9D36}"/>
    <hyperlink ref="F222" location="'Net revenue summary'!A4" display="'" xr:uid="{D149111B-2383-4551-93C2-3F87B46BC2EE}"/>
    <hyperlink ref="G222" location="'Net revenue summary'!$C$52" display="'Net revenue summary'!$C$52" xr:uid="{3A8C8459-107B-4DE3-BD07-F3EACF28B9A7}"/>
    <hyperlink ref="F223" location="'Net revenue summary'!A4" display="'" xr:uid="{5B040240-DA47-4D68-BD82-5D31FA403E55}"/>
    <hyperlink ref="G223" location="'Net revenue summary'!$C$81" display="'Net revenue summary'!$C$81" xr:uid="{E642CC55-6BA4-4C7E-B0CA-C1BE661B6260}"/>
    <hyperlink ref="F224" location="'Net revenue summary'!A4" display="'" xr:uid="{23B6F820-038F-49CD-BAF8-132E6EA7ED93}"/>
    <hyperlink ref="G224" location="'Net revenue summary'!$C$92" display="'Net revenue summary'!$C$92" xr:uid="{88716B6E-C135-4C55-AA39-0E1498656588}"/>
    <hyperlink ref="F225" location="'Net revenue summary'!A4" display="'" xr:uid="{AE0ED47F-9090-45B8-819A-9BB8FF20159A}"/>
    <hyperlink ref="G225" location="'Net revenue summary'!$C$124" display="'Net revenue summary'!$C$124" xr:uid="{7663204D-A1EC-4D6F-8FB9-7D34D9A2BBFA}"/>
    <hyperlink ref="F226" location="'Net revenue summary'!A4" display="'" xr:uid="{06A92E4A-75CC-4CC3-A2EA-68B3E626E8EB}"/>
    <hyperlink ref="G226" location="'Net revenue summary'!$C$138" display="'Net revenue summary'!$C$138" xr:uid="{F12E5514-336F-4101-8FC3-31DBB1381DF4}"/>
    <hyperlink ref="F227" location="'Net revenue summary'!A4" display="'" xr:uid="{89EAFCC5-F6F7-45E0-82FB-32EF1DCA9AD2}"/>
    <hyperlink ref="G227" location="'Net revenue summary'!$C$144" display="'Net revenue summary'!$C$144" xr:uid="{E75F2FFD-D99E-42E5-ACD2-5C3387761643}"/>
    <hyperlink ref="F228" location="'Net revenue summary'!A4" display="'" xr:uid="{C4FFB55A-092E-4549-8F4E-9265D15C3AE7}"/>
    <hyperlink ref="G228" location="'Net revenue summary'!$C$152" display="'Net revenue summary'!$C$152" xr:uid="{5156D221-5794-4A54-A8F6-1C5936E1762A}"/>
    <hyperlink ref="F229" location="'Net revenue summary'!A4" display="'" xr:uid="{C898F3F2-CCF4-428E-AB3B-A10FD6557754}"/>
    <hyperlink ref="G229" location="'Net revenue summary'!$C$163" display="'Net revenue summary'!$C$163" xr:uid="{6F3662E5-1810-40FA-85C9-8B8F07521993}"/>
    <hyperlink ref="F230" location="'Net revenue summary'!A4" display="'" xr:uid="{5DD9235F-C235-4FB7-AB56-21214DDBDFAE}"/>
    <hyperlink ref="G230" location="'Net revenue summary'!$C$178" display="'Net revenue summary'!$C$178" xr:uid="{9DD72AF9-EAAB-4D2B-93AA-1036F9002FD2}"/>
    <hyperlink ref="F231" location="'Net revenue summary'!A4" display="'" xr:uid="{8F4BA7DA-B730-45EE-A5FB-817CA75709D6}"/>
    <hyperlink ref="G231" location="'Net revenue summary'!$C$202" display="'Net revenue summary'!$C$202" xr:uid="{FB2A053F-DB8A-4AC9-B124-AB62D2BF01D1}"/>
    <hyperlink ref="F232" location="'Tariff summary'!A4" display="'" xr:uid="{ECE8AC9C-314E-43B7-ADEE-2E1B0806A504}"/>
    <hyperlink ref="G232" location="'Tariff summary'!$C$13" display="'Tariff summary'!$C$13" xr:uid="{964A4023-A332-47B8-ACD7-AFCF9A62DC71}"/>
    <hyperlink ref="F233" location="'Output to other models'!A4" display="'" xr:uid="{48908E97-CC49-493F-93E0-B63833A60A40}"/>
    <hyperlink ref="G233" location="'Output to other models'!$C$14" display="'Output to other models'!$C$14" xr:uid="{F0A9D573-021E-4CF7-8DC5-5DFF937D8AB1}"/>
    <hyperlink ref="F235" location="'Output to other models'!A4" display="'" xr:uid="{CEDF8525-2468-4C90-8A22-58EB79931FD7}"/>
    <hyperlink ref="G235" location="'Output to other models'!$C$27" display="'Output to other models'!$C$27" xr:uid="{2119FAA1-37F7-403C-B46D-8A4DC1929B8C}"/>
    <hyperlink ref="F236" location="'Output to other models'!A4" display="'" xr:uid="{3B9F3DF8-E51C-4793-8C9A-6214AEBA2689}"/>
    <hyperlink ref="G236" location="'Output to other models'!$C$45" display="'Output to other models'!$C$45" xr:uid="{004EAE5A-9F20-4E77-BC80-D278A86C774C}"/>
    <hyperlink ref="F237" location="'Output to other models'!A4" display="'" xr:uid="{5FAD9F56-67C2-4BFE-8F4A-5CAF67B4BC9E}"/>
    <hyperlink ref="G237" location="'Output to other models'!$C$57" display="'Output to other models'!$C$57" xr:uid="{F7F3D442-6E7E-406F-928D-5204DCE97ADA}"/>
    <hyperlink ref="F238" location="'Output to other models'!A4" display="'" xr:uid="{4DF22263-0264-4276-96F7-22A412D7E48E}"/>
    <hyperlink ref="G238" location="'Output to other models'!$C$67" display="'Output to other models'!$C$67" xr:uid="{483A9241-30E7-49FC-AED1-0F7D1DD2CF42}"/>
    <hyperlink ref="G234" location="'Output to other models'!C25" display="'Output to other models'!C25" xr:uid="{7D8C6ED0-FB15-4887-AD51-D948E04B4470}"/>
  </hyperlink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4.5" x14ac:dyDescent="0.35"/>
  <cols>
    <col min="1" max="5" width="2.54296875" customWidth="1"/>
    <col min="6" max="6" width="59.54296875" customWidth="1"/>
    <col min="7" max="7" width="90.453125" customWidth="1"/>
    <col min="8" max="8" width="20.54296875" customWidth="1"/>
    <col min="9" max="9" width="2.54296875" customWidth="1"/>
    <col min="10" max="16" width="15.453125" hidden="1" customWidth="1"/>
    <col min="17" max="17" width="2.54296875" hidden="1" customWidth="1"/>
    <col min="18" max="30" width="0" hidden="1" customWidth="1"/>
    <col min="31" max="16384" width="9.453125" hidden="1"/>
  </cols>
  <sheetData>
    <row r="1" spans="1:8" s="1" customFormat="1" x14ac:dyDescent="0.35">
      <c r="A1" s="1" t="str">
        <f ca="1">MID(CELL("filename",A1),FIND("]",CELL("filename",A1))+1,255)</f>
        <v>Named ranges</v>
      </c>
    </row>
    <row r="2" spans="1:8" s="1" customFormat="1" x14ac:dyDescent="0.35">
      <c r="A2" s="1" t="str">
        <f>Cover!D21&amp;" - "&amp;Cover!D23</f>
        <v>Southern Electric Power Distribution - Final</v>
      </c>
    </row>
    <row r="3" spans="1:8" s="5" customFormat="1" x14ac:dyDescent="0.35">
      <c r="A3" s="5" t="str">
        <f>Cover!D2&amp;" - "&amp;Cover!D8&amp;" v"&amp;Cover!D10&amp;" - "&amp;Cover!D19</f>
        <v>CDCM charging model - Release for charge setting v9 - 2024/25</v>
      </c>
    </row>
    <row r="5" spans="1:8" x14ac:dyDescent="0.35">
      <c r="B5" s="31" t="s">
        <v>121</v>
      </c>
      <c r="C5" s="31"/>
      <c r="D5" s="31"/>
      <c r="E5" s="31"/>
      <c r="F5" s="32"/>
      <c r="G5" s="32"/>
      <c r="H5" s="32"/>
    </row>
    <row r="6" spans="1:8" x14ac:dyDescent="0.35">
      <c r="B6" s="30"/>
      <c r="C6" s="30"/>
      <c r="D6" s="30"/>
      <c r="E6" s="30"/>
      <c r="F6" s="33"/>
      <c r="G6" s="30"/>
      <c r="H6" s="30"/>
    </row>
    <row r="7" spans="1:8" x14ac:dyDescent="0.35">
      <c r="F7" s="48" t="s">
        <v>122</v>
      </c>
      <c r="G7" t="s">
        <v>123</v>
      </c>
      <c r="H7" t="s">
        <v>114</v>
      </c>
    </row>
    <row r="8" spans="1:8" x14ac:dyDescent="0.35">
      <c r="F8" s="48" t="s">
        <v>124</v>
      </c>
      <c r="G8" t="s">
        <v>125</v>
      </c>
      <c r="H8" t="s">
        <v>53</v>
      </c>
    </row>
    <row r="9" spans="1:8" x14ac:dyDescent="0.35">
      <c r="F9" s="48" t="s">
        <v>126</v>
      </c>
      <c r="G9" t="s">
        <v>127</v>
      </c>
      <c r="H9" t="s">
        <v>60</v>
      </c>
    </row>
    <row r="10" spans="1:8" x14ac:dyDescent="0.35">
      <c r="F10" s="48" t="s">
        <v>128</v>
      </c>
      <c r="G10" t="s">
        <v>129</v>
      </c>
      <c r="H10" t="s">
        <v>114</v>
      </c>
    </row>
    <row r="11" spans="1:8" x14ac:dyDescent="0.35">
      <c r="F11" s="48" t="s">
        <v>130</v>
      </c>
      <c r="G11" t="s">
        <v>131</v>
      </c>
      <c r="H11" t="s">
        <v>53</v>
      </c>
    </row>
    <row r="12" spans="1:8" x14ac:dyDescent="0.35">
      <c r="F12" s="48" t="s">
        <v>132</v>
      </c>
      <c r="G12" t="s">
        <v>133</v>
      </c>
      <c r="H12" t="s">
        <v>60</v>
      </c>
    </row>
    <row r="13" spans="1:8" x14ac:dyDescent="0.35">
      <c r="F13" s="48" t="s">
        <v>134</v>
      </c>
      <c r="G13" t="s">
        <v>135</v>
      </c>
      <c r="H13" t="s">
        <v>53</v>
      </c>
    </row>
    <row r="14" spans="1:8" x14ac:dyDescent="0.35">
      <c r="F14" s="48" t="s">
        <v>136</v>
      </c>
      <c r="G14" t="s">
        <v>137</v>
      </c>
      <c r="H14" t="s">
        <v>53</v>
      </c>
    </row>
    <row r="15" spans="1:8" x14ac:dyDescent="0.35">
      <c r="F15" s="48" t="s">
        <v>138</v>
      </c>
      <c r="G15" t="s">
        <v>139</v>
      </c>
      <c r="H15" t="s">
        <v>53</v>
      </c>
    </row>
    <row r="16" spans="1:8" x14ac:dyDescent="0.35">
      <c r="F16" s="48" t="s">
        <v>140</v>
      </c>
      <c r="G16" t="s">
        <v>141</v>
      </c>
      <c r="H16" t="s">
        <v>53</v>
      </c>
    </row>
    <row r="17" spans="2:8" x14ac:dyDescent="0.35">
      <c r="F17" s="48"/>
    </row>
    <row r="18" spans="2:8" x14ac:dyDescent="0.35">
      <c r="B18" s="31" t="s">
        <v>106</v>
      </c>
      <c r="C18" s="31"/>
      <c r="D18" s="31"/>
      <c r="E18" s="31"/>
      <c r="F18" s="32"/>
      <c r="G18" s="32"/>
      <c r="H18" s="32"/>
    </row>
  </sheetData>
  <sheetProtection sheet="1" objects="1" formatCells="0" formatColumns="0" formatRows="0" sort="0" autoFilter="0"/>
  <hyperlinks>
    <hyperlink ref="F7" location="Cover!$D$19" display="charging_year" xr:uid="{00000000-0004-0000-0400-000000000000}"/>
    <hyperlink ref="F8" location="'Fixed inputs'!H154" display="check_decimals" xr:uid="{00000000-0004-0000-0400-000001000000}"/>
    <hyperlink ref="F9" location="'General inputs'!$H$90" display="days_in_year" xr:uid="{00000000-0004-0000-0400-000002000000}"/>
    <hyperlink ref="F10" location="Cover!$D$21" display="DNO_name" xr:uid="{00000000-0004-0000-0400-000003000000}"/>
    <hyperlink ref="F11" location="'Fixed inputs'!$H$15" display="hours_in_day" xr:uid="{00000000-0004-0000-0400-000004000000}"/>
    <hyperlink ref="F12" location="'General inputs'!$H$91" display="hours_in_year" xr:uid="{00000000-0004-0000-0400-000005000000}"/>
    <hyperlink ref="F13" location="'Fixed inputs'!$H$17" display="hundred" xr:uid="{00000000-0004-0000-0400-000006000000}"/>
    <hyperlink ref="F14" location="'Fixed inputs'!$H$37" display="PowerFactor" xr:uid="{00000000-0004-0000-0400-000008000000}"/>
    <hyperlink ref="F15" location="'Fixed inputs'!$H$16" display="ten" xr:uid="{00000000-0004-0000-0400-000009000000}"/>
    <hyperlink ref="F16" location="'Fixed inputs'!$H$18" display="thousand" xr:uid="{00000000-0004-0000-0400-00000A000000}"/>
  </hyperlink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tint="0.59999389629810485"/>
  </sheetPr>
  <dimension ref="A1:AR19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41" width="17" customWidth="1"/>
    <col min="42" max="42" width="2.453125" customWidth="1"/>
    <col min="43" max="43" width="50.54296875" customWidth="1"/>
    <col min="44" max="44" width="2.453125" customWidth="1"/>
    <col min="45" max="16384" width="9.453125" hidden="1"/>
  </cols>
  <sheetData>
    <row r="1" spans="1:43" s="1" customFormat="1" x14ac:dyDescent="0.35">
      <c r="A1" s="1" t="str">
        <f ca="1">MID(CELL("filename",A1),FIND("]",CELL("filename",A1))+1,255)</f>
        <v>Fixed inputs</v>
      </c>
    </row>
    <row r="2" spans="1:43" s="1" customFormat="1" x14ac:dyDescent="0.35">
      <c r="A2" s="1" t="str">
        <f>Cover!D21&amp;" - "&amp;Cover!D23</f>
        <v>Southern Electric Power Distribution - Final</v>
      </c>
    </row>
    <row r="3" spans="1:43" s="5" customFormat="1" x14ac:dyDescent="0.35">
      <c r="A3" s="5" t="str">
        <f>Cover!D2&amp;" - "&amp;Cover!D8&amp;" v"&amp;Cover!D10&amp;" - "&amp;Cover!D19</f>
        <v>CDCM charging model - Release for charge setting v9 - 2024/25</v>
      </c>
    </row>
    <row r="4" spans="1:43" x14ac:dyDescent="0.35">
      <c r="A4" s="11" t="str">
        <f>H197 &amp; IF(H197 = 1, " issue", " issues") &amp;" identified in checks on this sheet"</f>
        <v>0 issues identified in checks on this sheet</v>
      </c>
      <c r="B4" s="12"/>
      <c r="C4" s="12"/>
      <c r="D4" s="12"/>
      <c r="E4" s="12"/>
      <c r="F4" s="12"/>
      <c r="G4" s="12"/>
      <c r="H4" s="13"/>
      <c r="I4" s="13"/>
    </row>
    <row r="5" spans="1:43" ht="43.5" x14ac:dyDescent="0.3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Q5" s="51" t="s">
        <v>145</v>
      </c>
    </row>
    <row r="7" spans="1:43" x14ac:dyDescent="0.3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35">
      <c r="C9" s="24" t="s">
        <v>146</v>
      </c>
    </row>
    <row r="11" spans="1:43" x14ac:dyDescent="0.35">
      <c r="B11" s="25" t="s">
        <v>53</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3" spans="1:43" x14ac:dyDescent="0.35">
      <c r="C13" s="26" t="str">
        <f ca="1">INDEX('Version control'!$H$38:$H$61,MATCH($A$1,'Version control'!$F$38:$F$61,0),1)&amp;"-A: Conversions and time"</f>
        <v>Input 101-A: Conversions and time</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35">
      <c r="E15" s="23" t="s">
        <v>131</v>
      </c>
      <c r="G15" t="s">
        <v>147</v>
      </c>
      <c r="H15" s="232">
        <v>24</v>
      </c>
    </row>
    <row r="16" spans="1:43" x14ac:dyDescent="0.35">
      <c r="E16" s="23" t="s">
        <v>148</v>
      </c>
      <c r="G16" t="s">
        <v>149</v>
      </c>
      <c r="H16" s="232">
        <v>10</v>
      </c>
    </row>
    <row r="17" spans="3:43" x14ac:dyDescent="0.35">
      <c r="E17" s="23" t="s">
        <v>150</v>
      </c>
      <c r="G17" t="s">
        <v>149</v>
      </c>
      <c r="H17" s="232">
        <v>100</v>
      </c>
    </row>
    <row r="18" spans="3:43" x14ac:dyDescent="0.35">
      <c r="E18" s="23" t="s">
        <v>151</v>
      </c>
      <c r="G18" t="s">
        <v>149</v>
      </c>
      <c r="H18" s="232">
        <v>1000</v>
      </c>
    </row>
    <row r="20" spans="3:43" x14ac:dyDescent="0.35">
      <c r="C20" s="26" t="str">
        <f ca="1">INDEX('Version control'!$H$38:$H$61,MATCH($A$1,'Version control'!$F$38:$F$61,0),1)&amp;"-B: Input 101-B: Rounding"</f>
        <v>Input 101-B: Input 101-B: Rounding</v>
      </c>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row>
    <row r="22" spans="3:43" x14ac:dyDescent="0.35">
      <c r="D22" s="24" t="s">
        <v>152</v>
      </c>
    </row>
    <row r="23" spans="3:43" x14ac:dyDescent="0.35">
      <c r="E23" s="27"/>
    </row>
    <row r="24" spans="3:43" x14ac:dyDescent="0.35">
      <c r="E24" s="27" t="s">
        <v>153</v>
      </c>
      <c r="F24" s="24"/>
      <c r="I24" t="s">
        <v>154</v>
      </c>
      <c r="AQ24" t="s">
        <v>155</v>
      </c>
    </row>
    <row r="25" spans="3:43" x14ac:dyDescent="0.35">
      <c r="F25" s="19" t="s">
        <v>156</v>
      </c>
      <c r="G25" s="19" t="s">
        <v>149</v>
      </c>
      <c r="H25" s="235">
        <v>3</v>
      </c>
    </row>
    <row r="26" spans="3:43" x14ac:dyDescent="0.35">
      <c r="F26" t="s">
        <v>157</v>
      </c>
      <c r="G26" t="s">
        <v>149</v>
      </c>
      <c r="H26" s="232">
        <v>3</v>
      </c>
    </row>
    <row r="27" spans="3:43" x14ac:dyDescent="0.35">
      <c r="F27" t="s">
        <v>158</v>
      </c>
      <c r="G27" t="s">
        <v>149</v>
      </c>
      <c r="H27" s="232">
        <v>3</v>
      </c>
    </row>
    <row r="28" spans="3:43" x14ac:dyDescent="0.35">
      <c r="F28" t="s">
        <v>159</v>
      </c>
      <c r="G28" t="s">
        <v>149</v>
      </c>
      <c r="H28" s="232">
        <v>2</v>
      </c>
    </row>
    <row r="29" spans="3:43" x14ac:dyDescent="0.35">
      <c r="F29" t="s">
        <v>160</v>
      </c>
      <c r="G29" t="s">
        <v>149</v>
      </c>
      <c r="H29" s="232">
        <v>2</v>
      </c>
    </row>
    <row r="30" spans="3:43" x14ac:dyDescent="0.35">
      <c r="F30" t="s">
        <v>161</v>
      </c>
      <c r="G30" t="s">
        <v>149</v>
      </c>
      <c r="H30" s="232">
        <v>2</v>
      </c>
    </row>
    <row r="31" spans="3:43" x14ac:dyDescent="0.35">
      <c r="F31" s="28" t="s">
        <v>162</v>
      </c>
      <c r="G31" s="28" t="s">
        <v>149</v>
      </c>
      <c r="H31" s="236">
        <v>3</v>
      </c>
    </row>
    <row r="33" spans="3:43" x14ac:dyDescent="0.35">
      <c r="C33" s="26" t="str">
        <f ca="1">INDEX('Version control'!$H$38:$H$61,MATCH($A$1,'Version control'!$F$38:$F$61,0),1)&amp;"-C: Financial and general assumptions"</f>
        <v>Input 101-C: Financial and general assumptions</v>
      </c>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row>
    <row r="35" spans="3:43" x14ac:dyDescent="0.35">
      <c r="E35" s="23" t="s">
        <v>163</v>
      </c>
      <c r="G35" t="s">
        <v>164</v>
      </c>
      <c r="H35" s="232">
        <v>40</v>
      </c>
      <c r="I35" t="s">
        <v>154</v>
      </c>
      <c r="AQ35" s="3" t="s">
        <v>165</v>
      </c>
    </row>
    <row r="37" spans="3:43" x14ac:dyDescent="0.35">
      <c r="E37" s="23" t="s">
        <v>166</v>
      </c>
      <c r="G37" t="s">
        <v>167</v>
      </c>
      <c r="H37" s="232">
        <v>0.95</v>
      </c>
      <c r="I37" t="s">
        <v>154</v>
      </c>
      <c r="AQ37" t="s">
        <v>168</v>
      </c>
    </row>
    <row r="39" spans="3:43" x14ac:dyDescent="0.35">
      <c r="E39" s="23" t="s">
        <v>169</v>
      </c>
      <c r="G39" t="s">
        <v>167</v>
      </c>
      <c r="H39" s="237">
        <v>0.6</v>
      </c>
      <c r="I39" t="s">
        <v>154</v>
      </c>
      <c r="AQ39" s="3" t="s">
        <v>170</v>
      </c>
    </row>
    <row r="41" spans="3:43" x14ac:dyDescent="0.35">
      <c r="E41" s="23" t="s">
        <v>171</v>
      </c>
      <c r="G41" s="23" t="s">
        <v>172</v>
      </c>
      <c r="H41" s="232">
        <v>500</v>
      </c>
      <c r="I41" t="s">
        <v>154</v>
      </c>
      <c r="AQ41" s="53" t="s">
        <v>173</v>
      </c>
    </row>
    <row r="43" spans="3:43" x14ac:dyDescent="0.35">
      <c r="C43" s="26" t="str">
        <f ca="1">INDEX('Version control'!$H$38:$H$61,MATCH($A$1,'Version control'!$F$38:$F$61,0),1)&amp;"-D: Mappings"</f>
        <v>Input 101-D: Mappings</v>
      </c>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row>
    <row r="45" spans="3:43" x14ac:dyDescent="0.35">
      <c r="E45" s="27" t="s">
        <v>174</v>
      </c>
    </row>
    <row r="46" spans="3:43" x14ac:dyDescent="0.35">
      <c r="F46" s="54" t="s">
        <v>175</v>
      </c>
      <c r="G46" s="19" t="s">
        <v>176</v>
      </c>
      <c r="H46" s="19"/>
      <c r="I46" s="19"/>
      <c r="J46" s="235">
        <v>1</v>
      </c>
      <c r="K46" s="235">
        <v>1</v>
      </c>
      <c r="L46" s="235">
        <v>1</v>
      </c>
      <c r="M46" s="235">
        <v>1</v>
      </c>
      <c r="N46" s="235">
        <v>1</v>
      </c>
      <c r="O46" s="235">
        <v>0</v>
      </c>
      <c r="P46" s="235">
        <v>0</v>
      </c>
      <c r="Q46" s="235">
        <v>1</v>
      </c>
      <c r="R46" s="55"/>
      <c r="S46" s="55"/>
      <c r="T46" s="55"/>
      <c r="U46" s="55"/>
      <c r="V46" s="55"/>
      <c r="W46" s="55"/>
      <c r="X46" s="55"/>
      <c r="Y46" s="55"/>
    </row>
    <row r="47" spans="3:43" x14ac:dyDescent="0.35">
      <c r="F47" s="23" t="s">
        <v>177</v>
      </c>
      <c r="G47" t="s">
        <v>176</v>
      </c>
      <c r="J47" s="232">
        <v>1</v>
      </c>
      <c r="K47" s="232">
        <v>1</v>
      </c>
      <c r="L47" s="232">
        <v>1</v>
      </c>
      <c r="M47" s="232">
        <v>1</v>
      </c>
      <c r="N47" s="232">
        <v>1</v>
      </c>
      <c r="O47" s="232">
        <v>0</v>
      </c>
      <c r="P47" s="232">
        <v>0</v>
      </c>
      <c r="Q47" s="232">
        <v>1</v>
      </c>
      <c r="R47" s="56"/>
      <c r="S47" s="56"/>
      <c r="T47" s="56"/>
      <c r="U47" s="56"/>
      <c r="V47" s="56"/>
      <c r="W47" s="56"/>
      <c r="X47" s="56"/>
      <c r="Y47" s="56"/>
    </row>
    <row r="48" spans="3:43" x14ac:dyDescent="0.35">
      <c r="F48" s="23" t="s">
        <v>178</v>
      </c>
      <c r="G48" t="s">
        <v>176</v>
      </c>
      <c r="J48" s="232">
        <v>0</v>
      </c>
      <c r="K48" s="232">
        <v>0</v>
      </c>
      <c r="L48" s="232">
        <v>0</v>
      </c>
      <c r="M48" s="232">
        <v>0</v>
      </c>
      <c r="N48" s="232">
        <v>0</v>
      </c>
      <c r="O48" s="232">
        <v>1</v>
      </c>
      <c r="P48" s="232">
        <v>0</v>
      </c>
      <c r="Q48" s="232">
        <v>0</v>
      </c>
      <c r="R48" s="56"/>
      <c r="S48" s="56"/>
      <c r="T48" s="56"/>
      <c r="U48" s="56"/>
      <c r="V48" s="56"/>
      <c r="W48" s="56"/>
      <c r="X48" s="56"/>
      <c r="Y48" s="56"/>
    </row>
    <row r="49" spans="5:43" x14ac:dyDescent="0.35">
      <c r="F49" s="57" t="s">
        <v>179</v>
      </c>
      <c r="G49" s="28" t="s">
        <v>176</v>
      </c>
      <c r="H49" s="28"/>
      <c r="I49" s="28"/>
      <c r="J49" s="236">
        <v>0</v>
      </c>
      <c r="K49" s="236">
        <v>0</v>
      </c>
      <c r="L49" s="236">
        <v>0</v>
      </c>
      <c r="M49" s="236">
        <v>0</v>
      </c>
      <c r="N49" s="236">
        <v>0</v>
      </c>
      <c r="O49" s="236">
        <v>0</v>
      </c>
      <c r="P49" s="236">
        <v>1</v>
      </c>
      <c r="Q49" s="236">
        <v>0</v>
      </c>
      <c r="R49" s="58"/>
      <c r="S49" s="58"/>
      <c r="T49" s="58"/>
      <c r="U49" s="58"/>
      <c r="V49" s="58"/>
      <c r="W49" s="58"/>
      <c r="X49" s="58"/>
      <c r="Y49" s="58"/>
    </row>
    <row r="51" spans="5:43" x14ac:dyDescent="0.35">
      <c r="E51" s="27" t="s">
        <v>180</v>
      </c>
      <c r="I51" t="s">
        <v>154</v>
      </c>
      <c r="AQ51" s="3" t="s">
        <v>181</v>
      </c>
    </row>
    <row r="52" spans="5:43" x14ac:dyDescent="0.35">
      <c r="E52" s="24" t="s">
        <v>182</v>
      </c>
    </row>
    <row r="53" spans="5:43" x14ac:dyDescent="0.35">
      <c r="F53" s="54" t="s">
        <v>183</v>
      </c>
      <c r="G53" s="19" t="s">
        <v>176</v>
      </c>
      <c r="H53" s="59"/>
      <c r="I53" s="59"/>
      <c r="J53" s="235">
        <v>0</v>
      </c>
      <c r="K53" s="235">
        <v>0</v>
      </c>
      <c r="L53" s="235">
        <v>0</v>
      </c>
      <c r="M53" s="235">
        <v>0</v>
      </c>
      <c r="N53" s="235">
        <v>0</v>
      </c>
      <c r="O53" s="235">
        <v>0</v>
      </c>
      <c r="P53" s="235">
        <v>0</v>
      </c>
      <c r="Q53" s="235">
        <v>0</v>
      </c>
      <c r="R53" s="235">
        <v>0</v>
      </c>
      <c r="S53" s="235">
        <v>0</v>
      </c>
      <c r="T53" s="235">
        <v>0</v>
      </c>
      <c r="U53" s="235">
        <v>0</v>
      </c>
      <c r="V53" s="235">
        <v>0</v>
      </c>
      <c r="W53" s="235">
        <v>0</v>
      </c>
      <c r="X53" s="235">
        <v>0</v>
      </c>
      <c r="Y53" s="235">
        <v>0</v>
      </c>
    </row>
    <row r="54" spans="5:43" x14ac:dyDescent="0.35">
      <c r="F54" s="23" t="s">
        <v>184</v>
      </c>
      <c r="G54" t="s">
        <v>176</v>
      </c>
      <c r="J54" s="232">
        <v>0</v>
      </c>
      <c r="K54" s="232">
        <v>0</v>
      </c>
      <c r="L54" s="232">
        <v>0</v>
      </c>
      <c r="M54" s="232">
        <v>0</v>
      </c>
      <c r="N54" s="232">
        <v>0</v>
      </c>
      <c r="O54" s="232">
        <v>0</v>
      </c>
      <c r="P54" s="232">
        <v>1</v>
      </c>
      <c r="Q54" s="232">
        <v>0</v>
      </c>
      <c r="R54" s="232">
        <v>0</v>
      </c>
      <c r="S54" s="232">
        <v>0</v>
      </c>
      <c r="T54" s="232">
        <v>0</v>
      </c>
      <c r="U54" s="232">
        <v>0</v>
      </c>
      <c r="V54" s="232">
        <v>0</v>
      </c>
      <c r="W54" s="232">
        <v>0</v>
      </c>
      <c r="X54" s="232">
        <v>1</v>
      </c>
      <c r="Y54" s="232">
        <v>1</v>
      </c>
    </row>
    <row r="55" spans="5:43" x14ac:dyDescent="0.35">
      <c r="F55" s="23" t="s">
        <v>185</v>
      </c>
      <c r="G55" t="s">
        <v>176</v>
      </c>
      <c r="J55" s="232">
        <v>0</v>
      </c>
      <c r="K55" s="232">
        <v>0</v>
      </c>
      <c r="L55" s="232">
        <v>0</v>
      </c>
      <c r="M55" s="232">
        <v>0</v>
      </c>
      <c r="N55" s="232">
        <v>0</v>
      </c>
      <c r="O55" s="232">
        <v>1</v>
      </c>
      <c r="P55" s="232">
        <v>0</v>
      </c>
      <c r="Q55" s="232">
        <v>0</v>
      </c>
      <c r="R55" s="232">
        <v>0</v>
      </c>
      <c r="S55" s="232">
        <v>1</v>
      </c>
      <c r="T55" s="232">
        <v>0</v>
      </c>
      <c r="U55" s="232">
        <v>0</v>
      </c>
      <c r="V55" s="232">
        <v>1</v>
      </c>
      <c r="W55" s="232">
        <v>1</v>
      </c>
      <c r="X55" s="232">
        <v>0</v>
      </c>
      <c r="Y55" s="232">
        <v>0</v>
      </c>
    </row>
    <row r="56" spans="5:43" x14ac:dyDescent="0.35">
      <c r="F56" s="57" t="s">
        <v>186</v>
      </c>
      <c r="G56" s="28" t="s">
        <v>176</v>
      </c>
      <c r="H56" s="28"/>
      <c r="I56" s="28"/>
      <c r="J56" s="236">
        <v>1</v>
      </c>
      <c r="K56" s="236">
        <v>1</v>
      </c>
      <c r="L56" s="236">
        <v>1</v>
      </c>
      <c r="M56" s="236">
        <v>1</v>
      </c>
      <c r="N56" s="236">
        <v>1</v>
      </c>
      <c r="O56" s="236">
        <v>0</v>
      </c>
      <c r="P56" s="236">
        <v>0</v>
      </c>
      <c r="Q56" s="236">
        <v>1</v>
      </c>
      <c r="R56" s="236">
        <v>1</v>
      </c>
      <c r="S56" s="236">
        <v>0</v>
      </c>
      <c r="T56" s="236">
        <v>1</v>
      </c>
      <c r="U56" s="236">
        <v>1</v>
      </c>
      <c r="V56" s="236">
        <v>0</v>
      </c>
      <c r="W56" s="236">
        <v>0</v>
      </c>
      <c r="X56" s="236">
        <v>0</v>
      </c>
      <c r="Y56" s="236">
        <v>0</v>
      </c>
    </row>
    <row r="57" spans="5:43" x14ac:dyDescent="0.35">
      <c r="H57" s="3"/>
      <c r="I57" s="3"/>
    </row>
    <row r="58" spans="5:43" x14ac:dyDescent="0.35">
      <c r="E58" s="27" t="s">
        <v>187</v>
      </c>
    </row>
    <row r="59" spans="5:43" x14ac:dyDescent="0.35">
      <c r="E59" s="24" t="s">
        <v>188</v>
      </c>
    </row>
    <row r="60" spans="5:43" x14ac:dyDescent="0.35">
      <c r="F60" s="19" t="s">
        <v>189</v>
      </c>
      <c r="G60" s="19" t="s">
        <v>190</v>
      </c>
      <c r="H60" s="19"/>
      <c r="I60" s="19"/>
      <c r="J60" s="235">
        <v>1</v>
      </c>
      <c r="K60" s="235">
        <v>1</v>
      </c>
      <c r="L60" s="235">
        <v>1</v>
      </c>
      <c r="M60" s="235">
        <v>1</v>
      </c>
      <c r="N60" s="235">
        <v>1</v>
      </c>
      <c r="O60" s="235">
        <v>1</v>
      </c>
      <c r="P60" s="235">
        <v>1</v>
      </c>
      <c r="Q60" s="235">
        <v>1</v>
      </c>
      <c r="R60" s="235">
        <v>-1</v>
      </c>
      <c r="S60" s="235">
        <v>-1</v>
      </c>
      <c r="T60" s="235">
        <v>-1</v>
      </c>
      <c r="U60" s="235">
        <v>-1</v>
      </c>
      <c r="V60" s="235">
        <v>-1</v>
      </c>
      <c r="W60" s="235">
        <v>-1</v>
      </c>
      <c r="X60" s="235">
        <v>-1</v>
      </c>
      <c r="Y60" s="235">
        <v>-1</v>
      </c>
    </row>
    <row r="61" spans="5:43" x14ac:dyDescent="0.35">
      <c r="F61" t="s">
        <v>191</v>
      </c>
      <c r="G61" t="s">
        <v>190</v>
      </c>
      <c r="J61" s="232">
        <v>1</v>
      </c>
      <c r="K61" s="232">
        <v>1</v>
      </c>
      <c r="L61" s="232">
        <v>1</v>
      </c>
      <c r="M61" s="232">
        <v>1</v>
      </c>
      <c r="N61" s="232">
        <v>1</v>
      </c>
      <c r="O61" s="232">
        <v>1</v>
      </c>
      <c r="P61" s="232">
        <v>1</v>
      </c>
      <c r="Q61" s="232">
        <v>1</v>
      </c>
      <c r="R61" s="232">
        <v>-1</v>
      </c>
      <c r="S61" s="232">
        <v>-1</v>
      </c>
      <c r="T61" s="232">
        <v>-1</v>
      </c>
      <c r="U61" s="232">
        <v>-1</v>
      </c>
      <c r="V61" s="232">
        <v>-1</v>
      </c>
      <c r="W61" s="232">
        <v>-1</v>
      </c>
      <c r="X61" s="232">
        <v>-1</v>
      </c>
      <c r="Y61" s="232">
        <v>-1</v>
      </c>
    </row>
    <row r="62" spans="5:43" x14ac:dyDescent="0.35">
      <c r="F62" t="s">
        <v>192</v>
      </c>
      <c r="G62" t="s">
        <v>190</v>
      </c>
      <c r="J62" s="232">
        <v>1</v>
      </c>
      <c r="K62" s="232">
        <v>1</v>
      </c>
      <c r="L62" s="232">
        <v>1</v>
      </c>
      <c r="M62" s="232">
        <v>1</v>
      </c>
      <c r="N62" s="232">
        <v>1</v>
      </c>
      <c r="O62" s="232">
        <v>1</v>
      </c>
      <c r="P62" s="232">
        <v>1</v>
      </c>
      <c r="Q62" s="232">
        <v>1</v>
      </c>
      <c r="R62" s="232">
        <v>-1</v>
      </c>
      <c r="S62" s="232">
        <v>-1</v>
      </c>
      <c r="T62" s="232">
        <v>-1</v>
      </c>
      <c r="U62" s="232">
        <v>-1</v>
      </c>
      <c r="V62" s="232">
        <v>-1</v>
      </c>
      <c r="W62" s="232">
        <v>-1</v>
      </c>
      <c r="X62" s="232">
        <v>-1</v>
      </c>
      <c r="Y62" s="232">
        <v>-1</v>
      </c>
    </row>
    <row r="63" spans="5:43" x14ac:dyDescent="0.35">
      <c r="F63" t="s">
        <v>193</v>
      </c>
      <c r="G63" t="s">
        <v>190</v>
      </c>
      <c r="J63" s="232">
        <v>1</v>
      </c>
      <c r="K63" s="232">
        <v>1</v>
      </c>
      <c r="L63" s="232">
        <v>1</v>
      </c>
      <c r="M63" s="232">
        <v>1</v>
      </c>
      <c r="N63" s="232">
        <v>1</v>
      </c>
      <c r="O63" s="232">
        <v>1</v>
      </c>
      <c r="P63" s="232">
        <v>1</v>
      </c>
      <c r="Q63" s="232">
        <v>1</v>
      </c>
      <c r="R63" s="232">
        <v>-1</v>
      </c>
      <c r="S63" s="232">
        <v>-1</v>
      </c>
      <c r="T63" s="232">
        <v>-1</v>
      </c>
      <c r="U63" s="232">
        <v>-1</v>
      </c>
      <c r="V63" s="232">
        <v>-1</v>
      </c>
      <c r="W63" s="232">
        <v>-1</v>
      </c>
      <c r="X63" s="232">
        <v>-1</v>
      </c>
      <c r="Y63" s="232">
        <v>-1</v>
      </c>
    </row>
    <row r="64" spans="5:43" x14ac:dyDescent="0.35">
      <c r="F64" t="s">
        <v>194</v>
      </c>
      <c r="G64" t="s">
        <v>190</v>
      </c>
      <c r="J64" s="232">
        <v>1</v>
      </c>
      <c r="K64" s="232">
        <v>1</v>
      </c>
      <c r="L64" s="232">
        <v>1</v>
      </c>
      <c r="M64" s="232">
        <v>1</v>
      </c>
      <c r="N64" s="232">
        <v>1</v>
      </c>
      <c r="O64" s="232">
        <v>1</v>
      </c>
      <c r="P64" s="232">
        <v>1</v>
      </c>
      <c r="Q64" s="232">
        <v>1</v>
      </c>
      <c r="R64" s="232">
        <v>-1</v>
      </c>
      <c r="S64" s="232">
        <v>-1</v>
      </c>
      <c r="T64" s="232">
        <v>-1</v>
      </c>
      <c r="U64" s="232">
        <v>-1</v>
      </c>
      <c r="V64" s="232">
        <v>-1</v>
      </c>
      <c r="W64" s="232">
        <v>-1</v>
      </c>
      <c r="X64" s="232">
        <v>-1</v>
      </c>
      <c r="Y64" s="232">
        <v>-1</v>
      </c>
    </row>
    <row r="65" spans="5:43" x14ac:dyDescent="0.35">
      <c r="F65" t="s">
        <v>195</v>
      </c>
      <c r="G65" t="s">
        <v>190</v>
      </c>
      <c r="J65" s="232">
        <v>1</v>
      </c>
      <c r="K65" s="232">
        <v>1</v>
      </c>
      <c r="L65" s="232">
        <v>1</v>
      </c>
      <c r="M65" s="232">
        <v>1</v>
      </c>
      <c r="N65" s="232">
        <v>1</v>
      </c>
      <c r="O65" s="232">
        <v>1</v>
      </c>
      <c r="P65" s="232">
        <v>1</v>
      </c>
      <c r="Q65" s="232">
        <v>1</v>
      </c>
      <c r="R65" s="232">
        <v>-1</v>
      </c>
      <c r="S65" s="232">
        <v>-1</v>
      </c>
      <c r="T65" s="232">
        <v>-1</v>
      </c>
      <c r="U65" s="232">
        <v>-1</v>
      </c>
      <c r="V65" s="232">
        <v>-1</v>
      </c>
      <c r="W65" s="232">
        <v>-1</v>
      </c>
      <c r="X65" s="232">
        <v>-1</v>
      </c>
      <c r="Y65" s="232">
        <v>-1</v>
      </c>
    </row>
    <row r="66" spans="5:43" x14ac:dyDescent="0.35">
      <c r="F66" t="s">
        <v>196</v>
      </c>
      <c r="G66" t="s">
        <v>190</v>
      </c>
      <c r="J66" s="232">
        <v>1</v>
      </c>
      <c r="K66" s="232">
        <v>1</v>
      </c>
      <c r="L66" s="232">
        <v>1</v>
      </c>
      <c r="M66" s="232">
        <v>1</v>
      </c>
      <c r="N66" s="232">
        <v>1</v>
      </c>
      <c r="O66" s="232">
        <v>1</v>
      </c>
      <c r="P66" s="232">
        <v>1</v>
      </c>
      <c r="Q66" s="232">
        <v>1</v>
      </c>
      <c r="R66" s="232">
        <v>-1</v>
      </c>
      <c r="S66" s="232">
        <v>-1</v>
      </c>
      <c r="T66" s="232">
        <v>-1</v>
      </c>
      <c r="U66" s="232">
        <v>-1</v>
      </c>
      <c r="V66" s="232">
        <v>-1</v>
      </c>
      <c r="W66" s="232">
        <v>-1</v>
      </c>
      <c r="X66" s="232">
        <v>-1</v>
      </c>
      <c r="Y66" s="232">
        <v>-1</v>
      </c>
    </row>
    <row r="67" spans="5:43" x14ac:dyDescent="0.35">
      <c r="F67" t="s">
        <v>197</v>
      </c>
      <c r="G67" t="s">
        <v>190</v>
      </c>
      <c r="J67" s="232">
        <v>1</v>
      </c>
      <c r="K67" s="232">
        <v>1</v>
      </c>
      <c r="L67" s="232">
        <v>1</v>
      </c>
      <c r="M67" s="232">
        <v>1</v>
      </c>
      <c r="N67" s="232">
        <v>1</v>
      </c>
      <c r="O67" s="232">
        <v>1</v>
      </c>
      <c r="P67" s="232">
        <v>1</v>
      </c>
      <c r="Q67" s="232">
        <v>1</v>
      </c>
      <c r="R67" s="232">
        <v>-1</v>
      </c>
      <c r="S67" s="232">
        <v>-1</v>
      </c>
      <c r="T67" s="232">
        <v>-1</v>
      </c>
      <c r="U67" s="232">
        <v>-1</v>
      </c>
      <c r="V67" s="232">
        <v>-1</v>
      </c>
      <c r="W67" s="232">
        <v>-1</v>
      </c>
      <c r="X67" s="232">
        <v>-1</v>
      </c>
      <c r="Y67" s="232">
        <v>-1</v>
      </c>
    </row>
    <row r="68" spans="5:43" x14ac:dyDescent="0.35">
      <c r="F68" t="s">
        <v>198</v>
      </c>
      <c r="G68" t="s">
        <v>190</v>
      </c>
      <c r="J68" s="232">
        <v>1</v>
      </c>
      <c r="K68" s="232">
        <v>1</v>
      </c>
      <c r="L68" s="232">
        <v>1</v>
      </c>
      <c r="M68" s="232">
        <v>1</v>
      </c>
      <c r="N68" s="232">
        <v>1</v>
      </c>
      <c r="O68" s="232">
        <v>1</v>
      </c>
      <c r="P68" s="232">
        <v>0</v>
      </c>
      <c r="Q68" s="232">
        <v>1</v>
      </c>
      <c r="R68" s="232">
        <v>-1</v>
      </c>
      <c r="S68" s="232">
        <v>-1</v>
      </c>
      <c r="T68" s="232">
        <v>-1</v>
      </c>
      <c r="U68" s="232">
        <v>-1</v>
      </c>
      <c r="V68" s="232">
        <v>-1</v>
      </c>
      <c r="W68" s="232">
        <v>-1</v>
      </c>
      <c r="X68" s="232">
        <v>0</v>
      </c>
      <c r="Y68" s="232">
        <v>0</v>
      </c>
    </row>
    <row r="69" spans="5:43" x14ac:dyDescent="0.35">
      <c r="F69" s="28" t="s">
        <v>199</v>
      </c>
      <c r="G69" s="28" t="s">
        <v>190</v>
      </c>
      <c r="H69" s="28"/>
      <c r="I69" s="28"/>
      <c r="J69" s="236">
        <v>1</v>
      </c>
      <c r="K69" s="236">
        <v>1</v>
      </c>
      <c r="L69" s="236">
        <v>1</v>
      </c>
      <c r="M69" s="236">
        <v>1</v>
      </c>
      <c r="N69" s="236">
        <v>1</v>
      </c>
      <c r="O69" s="236">
        <v>0</v>
      </c>
      <c r="P69" s="236">
        <v>0</v>
      </c>
      <c r="Q69" s="236">
        <v>1</v>
      </c>
      <c r="R69" s="236">
        <v>-1</v>
      </c>
      <c r="S69" s="236">
        <v>0</v>
      </c>
      <c r="T69" s="236">
        <v>-1</v>
      </c>
      <c r="U69" s="236">
        <v>-1</v>
      </c>
      <c r="V69" s="236">
        <v>0</v>
      </c>
      <c r="W69" s="236">
        <v>0</v>
      </c>
      <c r="X69" s="236">
        <v>0</v>
      </c>
      <c r="Y69" s="236">
        <v>0</v>
      </c>
    </row>
    <row r="71" spans="5:43" x14ac:dyDescent="0.35">
      <c r="E71" s="27" t="s">
        <v>200</v>
      </c>
      <c r="I71" t="s">
        <v>154</v>
      </c>
      <c r="AQ71" s="3" t="s">
        <v>201</v>
      </c>
    </row>
    <row r="72" spans="5:43" x14ac:dyDescent="0.35">
      <c r="E72" s="24" t="s">
        <v>202</v>
      </c>
    </row>
    <row r="73" spans="5:43" x14ac:dyDescent="0.35">
      <c r="E73" s="24"/>
      <c r="F73" s="19" t="s">
        <v>189</v>
      </c>
      <c r="G73" s="19" t="s">
        <v>190</v>
      </c>
      <c r="H73" s="19"/>
      <c r="I73" s="19"/>
      <c r="J73" s="235">
        <v>1</v>
      </c>
      <c r="K73" s="235">
        <v>1</v>
      </c>
      <c r="L73" s="235">
        <v>1</v>
      </c>
      <c r="M73" s="235">
        <v>1</v>
      </c>
      <c r="N73" s="235">
        <v>1</v>
      </c>
      <c r="O73" s="235">
        <v>1</v>
      </c>
      <c r="P73" s="235">
        <v>1</v>
      </c>
      <c r="Q73" s="235">
        <v>1</v>
      </c>
      <c r="R73" s="235">
        <v>-1</v>
      </c>
      <c r="S73" s="235">
        <v>-1</v>
      </c>
      <c r="T73" s="235">
        <v>-1</v>
      </c>
      <c r="U73" s="235">
        <v>-1</v>
      </c>
      <c r="V73" s="235">
        <v>-1</v>
      </c>
      <c r="W73" s="235">
        <v>-1</v>
      </c>
      <c r="X73" s="235">
        <v>-1</v>
      </c>
      <c r="Y73" s="235">
        <v>-1</v>
      </c>
    </row>
    <row r="74" spans="5:43" x14ac:dyDescent="0.35">
      <c r="E74" s="24"/>
      <c r="F74" t="s">
        <v>191</v>
      </c>
      <c r="G74" t="s">
        <v>190</v>
      </c>
      <c r="J74" s="232">
        <v>1</v>
      </c>
      <c r="K74" s="232">
        <v>1</v>
      </c>
      <c r="L74" s="232">
        <v>1</v>
      </c>
      <c r="M74" s="232">
        <v>1</v>
      </c>
      <c r="N74" s="232">
        <v>1</v>
      </c>
      <c r="O74" s="232">
        <v>1</v>
      </c>
      <c r="P74" s="232">
        <v>1</v>
      </c>
      <c r="Q74" s="232">
        <v>1</v>
      </c>
      <c r="R74" s="232">
        <v>-1</v>
      </c>
      <c r="S74" s="232">
        <v>-1</v>
      </c>
      <c r="T74" s="232">
        <v>-1</v>
      </c>
      <c r="U74" s="232">
        <v>-1</v>
      </c>
      <c r="V74" s="232">
        <v>-1</v>
      </c>
      <c r="W74" s="232">
        <v>-1</v>
      </c>
      <c r="X74" s="232">
        <v>-1</v>
      </c>
      <c r="Y74" s="232">
        <v>-1</v>
      </c>
    </row>
    <row r="75" spans="5:43" x14ac:dyDescent="0.35">
      <c r="E75" s="24"/>
      <c r="F75" t="s">
        <v>192</v>
      </c>
      <c r="G75" t="s">
        <v>190</v>
      </c>
      <c r="J75" s="232">
        <v>1</v>
      </c>
      <c r="K75" s="232">
        <v>1</v>
      </c>
      <c r="L75" s="232">
        <v>1</v>
      </c>
      <c r="M75" s="232">
        <v>1</v>
      </c>
      <c r="N75" s="232">
        <v>1</v>
      </c>
      <c r="O75" s="232">
        <v>1</v>
      </c>
      <c r="P75" s="232">
        <v>1</v>
      </c>
      <c r="Q75" s="232">
        <v>1</v>
      </c>
      <c r="R75" s="232">
        <v>-1</v>
      </c>
      <c r="S75" s="232">
        <v>-1</v>
      </c>
      <c r="T75" s="232">
        <v>-1</v>
      </c>
      <c r="U75" s="232">
        <v>-1</v>
      </c>
      <c r="V75" s="232">
        <v>-1</v>
      </c>
      <c r="W75" s="232">
        <v>-1</v>
      </c>
      <c r="X75" s="232">
        <v>-1</v>
      </c>
      <c r="Y75" s="232">
        <v>-1</v>
      </c>
    </row>
    <row r="76" spans="5:43" x14ac:dyDescent="0.35">
      <c r="E76" s="24"/>
      <c r="F76" t="s">
        <v>193</v>
      </c>
      <c r="G76" t="s">
        <v>190</v>
      </c>
      <c r="J76" s="232">
        <v>1</v>
      </c>
      <c r="K76" s="232">
        <v>1</v>
      </c>
      <c r="L76" s="232">
        <v>1</v>
      </c>
      <c r="M76" s="232">
        <v>1</v>
      </c>
      <c r="N76" s="232">
        <v>1</v>
      </c>
      <c r="O76" s="232">
        <v>1</v>
      </c>
      <c r="P76" s="232">
        <v>1</v>
      </c>
      <c r="Q76" s="232">
        <v>1</v>
      </c>
      <c r="R76" s="232">
        <v>-1</v>
      </c>
      <c r="S76" s="232">
        <v>-1</v>
      </c>
      <c r="T76" s="232">
        <v>-1</v>
      </c>
      <c r="U76" s="232">
        <v>-1</v>
      </c>
      <c r="V76" s="232">
        <v>-1</v>
      </c>
      <c r="W76" s="232">
        <v>-1</v>
      </c>
      <c r="X76" s="232">
        <v>-1</v>
      </c>
      <c r="Y76" s="232">
        <v>-1</v>
      </c>
    </row>
    <row r="77" spans="5:43" x14ac:dyDescent="0.35">
      <c r="E77" s="24"/>
      <c r="F77" t="s">
        <v>194</v>
      </c>
      <c r="G77" t="s">
        <v>190</v>
      </c>
      <c r="J77" s="232">
        <v>1</v>
      </c>
      <c r="K77" s="232">
        <v>1</v>
      </c>
      <c r="L77" s="232">
        <v>1</v>
      </c>
      <c r="M77" s="232">
        <v>1</v>
      </c>
      <c r="N77" s="232">
        <v>1</v>
      </c>
      <c r="O77" s="232">
        <v>1</v>
      </c>
      <c r="P77" s="232">
        <v>1</v>
      </c>
      <c r="Q77" s="232">
        <v>1</v>
      </c>
      <c r="R77" s="232">
        <v>-1</v>
      </c>
      <c r="S77" s="232">
        <v>-1</v>
      </c>
      <c r="T77" s="232">
        <v>-1</v>
      </c>
      <c r="U77" s="232">
        <v>-1</v>
      </c>
      <c r="V77" s="232">
        <v>-1</v>
      </c>
      <c r="W77" s="232">
        <v>-1</v>
      </c>
      <c r="X77" s="232">
        <v>-1</v>
      </c>
      <c r="Y77" s="232">
        <v>-1</v>
      </c>
    </row>
    <row r="78" spans="5:43" x14ac:dyDescent="0.35">
      <c r="E78" s="24"/>
      <c r="F78" t="s">
        <v>195</v>
      </c>
      <c r="G78" t="s">
        <v>190</v>
      </c>
      <c r="J78" s="232">
        <v>1</v>
      </c>
      <c r="K78" s="232">
        <v>1</v>
      </c>
      <c r="L78" s="232">
        <v>1</v>
      </c>
      <c r="M78" s="232">
        <v>1</v>
      </c>
      <c r="N78" s="232">
        <v>1</v>
      </c>
      <c r="O78" s="232">
        <v>1</v>
      </c>
      <c r="P78" s="232">
        <v>1</v>
      </c>
      <c r="Q78" s="232">
        <v>1</v>
      </c>
      <c r="R78" s="232">
        <v>-1</v>
      </c>
      <c r="S78" s="232">
        <v>-1</v>
      </c>
      <c r="T78" s="232">
        <v>-1</v>
      </c>
      <c r="U78" s="232">
        <v>-1</v>
      </c>
      <c r="V78" s="232">
        <v>-1</v>
      </c>
      <c r="W78" s="232">
        <v>-1</v>
      </c>
      <c r="X78" s="232">
        <v>-1</v>
      </c>
      <c r="Y78" s="232">
        <v>-1</v>
      </c>
    </row>
    <row r="79" spans="5:43" x14ac:dyDescent="0.35">
      <c r="E79" s="24"/>
      <c r="F79" t="s">
        <v>196</v>
      </c>
      <c r="G79" t="s">
        <v>190</v>
      </c>
      <c r="J79" s="232">
        <v>1</v>
      </c>
      <c r="K79" s="232">
        <v>1</v>
      </c>
      <c r="L79" s="232">
        <v>1</v>
      </c>
      <c r="M79" s="232">
        <v>1</v>
      </c>
      <c r="N79" s="232">
        <v>1</v>
      </c>
      <c r="O79" s="232">
        <v>1</v>
      </c>
      <c r="P79" s="232">
        <v>1</v>
      </c>
      <c r="Q79" s="232">
        <v>1</v>
      </c>
      <c r="R79" s="232">
        <v>-1</v>
      </c>
      <c r="S79" s="232">
        <v>-1</v>
      </c>
      <c r="T79" s="232">
        <v>-1</v>
      </c>
      <c r="U79" s="232">
        <v>-1</v>
      </c>
      <c r="V79" s="232">
        <v>-1</v>
      </c>
      <c r="W79" s="232">
        <v>-1</v>
      </c>
      <c r="X79" s="232">
        <v>-1</v>
      </c>
      <c r="Y79" s="232">
        <v>-1</v>
      </c>
    </row>
    <row r="80" spans="5:43" x14ac:dyDescent="0.35">
      <c r="E80" s="24"/>
      <c r="F80" t="s">
        <v>197</v>
      </c>
      <c r="G80" t="s">
        <v>190</v>
      </c>
      <c r="J80" s="232">
        <v>1</v>
      </c>
      <c r="K80" s="232">
        <v>1</v>
      </c>
      <c r="L80" s="232">
        <v>1</v>
      </c>
      <c r="M80" s="232">
        <v>1</v>
      </c>
      <c r="N80" s="232">
        <v>1</v>
      </c>
      <c r="O80" s="232">
        <v>1</v>
      </c>
      <c r="P80" s="232">
        <v>1</v>
      </c>
      <c r="Q80" s="232">
        <v>1</v>
      </c>
      <c r="R80" s="232">
        <v>-1</v>
      </c>
      <c r="S80" s="232">
        <v>-1</v>
      </c>
      <c r="T80" s="232">
        <v>-1</v>
      </c>
      <c r="U80" s="232">
        <v>-1</v>
      </c>
      <c r="V80" s="232">
        <v>-1</v>
      </c>
      <c r="W80" s="232">
        <v>-1</v>
      </c>
      <c r="X80" s="232">
        <v>0</v>
      </c>
      <c r="Y80" s="232">
        <v>0</v>
      </c>
    </row>
    <row r="81" spans="3:43" x14ac:dyDescent="0.35">
      <c r="E81" s="24"/>
      <c r="F81" t="s">
        <v>198</v>
      </c>
      <c r="G81" t="s">
        <v>190</v>
      </c>
      <c r="J81" s="232">
        <v>1</v>
      </c>
      <c r="K81" s="232">
        <v>1</v>
      </c>
      <c r="L81" s="232">
        <v>1</v>
      </c>
      <c r="M81" s="232">
        <v>1</v>
      </c>
      <c r="N81" s="232">
        <v>1</v>
      </c>
      <c r="O81" s="232">
        <v>1</v>
      </c>
      <c r="P81" s="232">
        <v>0</v>
      </c>
      <c r="Q81" s="232">
        <v>1</v>
      </c>
      <c r="R81" s="232">
        <v>-1</v>
      </c>
      <c r="S81" s="232">
        <v>0</v>
      </c>
      <c r="T81" s="232">
        <v>-1</v>
      </c>
      <c r="U81" s="232">
        <v>-1</v>
      </c>
      <c r="V81" s="232">
        <v>0</v>
      </c>
      <c r="W81" s="232">
        <v>0</v>
      </c>
      <c r="X81" s="232">
        <v>0</v>
      </c>
      <c r="Y81" s="232">
        <v>0</v>
      </c>
    </row>
    <row r="82" spans="3:43" x14ac:dyDescent="0.35">
      <c r="E82" s="24"/>
      <c r="F82" s="28" t="s">
        <v>199</v>
      </c>
      <c r="G82" s="28" t="s">
        <v>190</v>
      </c>
      <c r="H82" s="28"/>
      <c r="I82" s="28"/>
      <c r="J82" s="236">
        <v>1</v>
      </c>
      <c r="K82" s="236">
        <v>1</v>
      </c>
      <c r="L82" s="236">
        <v>1</v>
      </c>
      <c r="M82" s="236">
        <v>1</v>
      </c>
      <c r="N82" s="236">
        <v>1</v>
      </c>
      <c r="O82" s="236">
        <v>0</v>
      </c>
      <c r="P82" s="236">
        <v>0</v>
      </c>
      <c r="Q82" s="236">
        <v>1</v>
      </c>
      <c r="R82" s="236">
        <v>0</v>
      </c>
      <c r="S82" s="236">
        <v>0</v>
      </c>
      <c r="T82" s="236">
        <v>0</v>
      </c>
      <c r="U82" s="236">
        <v>0</v>
      </c>
      <c r="V82" s="236">
        <v>0</v>
      </c>
      <c r="W82" s="236">
        <v>0</v>
      </c>
      <c r="X82" s="236">
        <v>0</v>
      </c>
      <c r="Y82" s="236">
        <v>0</v>
      </c>
    </row>
    <row r="84" spans="3:43" x14ac:dyDescent="0.35">
      <c r="C84" s="26" t="str">
        <f ca="1">INDEX('Version control'!$H$38:$H$61,MATCH($A$1,'Version control'!$F$38:$F$61,0),1)&amp;"-E: Standing charge factors"</f>
        <v>Input 101-E: Standing charge factors</v>
      </c>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row>
    <row r="86" spans="3:43" x14ac:dyDescent="0.35">
      <c r="E86" s="27" t="s">
        <v>120</v>
      </c>
      <c r="F86" s="27"/>
      <c r="I86" t="s">
        <v>154</v>
      </c>
      <c r="AQ86" t="s">
        <v>203</v>
      </c>
    </row>
    <row r="87" spans="3:43" x14ac:dyDescent="0.35">
      <c r="E87" s="24" t="s">
        <v>861</v>
      </c>
      <c r="F87" s="24"/>
    </row>
    <row r="88" spans="3:43" x14ac:dyDescent="0.35">
      <c r="E88" s="24"/>
      <c r="F88" s="19" t="s">
        <v>189</v>
      </c>
      <c r="G88" s="19" t="s">
        <v>167</v>
      </c>
      <c r="H88" s="19"/>
      <c r="I88" s="19"/>
      <c r="J88" s="55"/>
      <c r="K88" s="55"/>
      <c r="L88" s="55"/>
      <c r="M88" s="55"/>
      <c r="N88" s="55"/>
      <c r="O88" s="55"/>
      <c r="P88" s="55"/>
      <c r="Q88" s="55"/>
      <c r="R88" s="55"/>
      <c r="S88" s="55"/>
      <c r="T88" s="55"/>
      <c r="U88" s="55"/>
      <c r="V88" s="55"/>
      <c r="W88" s="55"/>
      <c r="X88" s="55"/>
      <c r="Y88" s="55"/>
    </row>
    <row r="89" spans="3:43" x14ac:dyDescent="0.35">
      <c r="E89" s="24"/>
      <c r="F89" t="s">
        <v>191</v>
      </c>
      <c r="G89" t="s">
        <v>167</v>
      </c>
      <c r="J89" s="56"/>
      <c r="K89" s="56"/>
      <c r="L89" s="56"/>
      <c r="M89" s="56"/>
      <c r="N89" s="56"/>
      <c r="O89" s="56"/>
      <c r="P89" s="56"/>
      <c r="Q89" s="56"/>
      <c r="R89" s="56"/>
      <c r="S89" s="56"/>
      <c r="T89" s="56"/>
      <c r="U89" s="56"/>
      <c r="V89" s="56"/>
      <c r="W89" s="56"/>
      <c r="X89" s="56"/>
      <c r="Y89" s="56"/>
    </row>
    <row r="90" spans="3:43" x14ac:dyDescent="0.35">
      <c r="E90" s="24"/>
      <c r="F90" t="s">
        <v>192</v>
      </c>
      <c r="G90" t="s">
        <v>167</v>
      </c>
      <c r="J90" s="60"/>
      <c r="K90" s="60"/>
      <c r="L90" s="60"/>
      <c r="M90" s="60"/>
      <c r="N90" s="60"/>
      <c r="O90" s="60"/>
      <c r="P90" s="60"/>
      <c r="Q90" s="60"/>
      <c r="R90" s="56"/>
      <c r="S90" s="56"/>
      <c r="T90" s="56"/>
      <c r="U90" s="56"/>
      <c r="V90" s="56"/>
      <c r="W90" s="56"/>
      <c r="X90" s="56"/>
      <c r="Y90" s="56"/>
    </row>
    <row r="91" spans="3:43" x14ac:dyDescent="0.35">
      <c r="E91" s="24"/>
      <c r="F91" t="s">
        <v>193</v>
      </c>
      <c r="G91" t="s">
        <v>167</v>
      </c>
      <c r="J91" s="60"/>
      <c r="K91" s="60"/>
      <c r="L91" s="60"/>
      <c r="M91" s="60"/>
      <c r="N91" s="60"/>
      <c r="O91" s="60"/>
      <c r="P91" s="60"/>
      <c r="Q91" s="60"/>
      <c r="R91" s="56"/>
      <c r="S91" s="56"/>
      <c r="T91" s="56"/>
      <c r="U91" s="56"/>
      <c r="V91" s="56"/>
      <c r="W91" s="56"/>
      <c r="X91" s="56"/>
      <c r="Y91" s="56"/>
    </row>
    <row r="92" spans="3:43" x14ac:dyDescent="0.35">
      <c r="E92" s="24"/>
      <c r="F92" t="s">
        <v>194</v>
      </c>
      <c r="G92" t="s">
        <v>167</v>
      </c>
      <c r="J92" s="60"/>
      <c r="K92" s="60"/>
      <c r="L92" s="60"/>
      <c r="M92" s="60"/>
      <c r="N92" s="60"/>
      <c r="O92" s="60"/>
      <c r="P92" s="237">
        <v>0.2</v>
      </c>
      <c r="Q92" s="60"/>
      <c r="R92" s="56"/>
      <c r="S92" s="56"/>
      <c r="T92" s="56"/>
      <c r="U92" s="56"/>
      <c r="V92" s="56"/>
      <c r="W92" s="56"/>
      <c r="X92" s="56"/>
      <c r="Y92" s="56"/>
    </row>
    <row r="93" spans="3:43" x14ac:dyDescent="0.35">
      <c r="E93" s="24"/>
      <c r="F93" t="s">
        <v>195</v>
      </c>
      <c r="G93" t="s">
        <v>167</v>
      </c>
      <c r="J93" s="60"/>
      <c r="K93" s="60"/>
      <c r="L93" s="60"/>
      <c r="M93" s="60"/>
      <c r="N93" s="60"/>
      <c r="O93" s="60"/>
      <c r="P93" s="237">
        <v>1</v>
      </c>
      <c r="Q93" s="60"/>
      <c r="R93" s="56"/>
      <c r="S93" s="56"/>
      <c r="T93" s="56"/>
      <c r="U93" s="56"/>
      <c r="V93" s="56"/>
      <c r="W93" s="56"/>
      <c r="X93" s="56"/>
      <c r="Y93" s="56"/>
    </row>
    <row r="94" spans="3:43" x14ac:dyDescent="0.35">
      <c r="E94" s="24"/>
      <c r="F94" t="s">
        <v>196</v>
      </c>
      <c r="G94" t="s">
        <v>167</v>
      </c>
      <c r="J94" s="60"/>
      <c r="K94" s="60"/>
      <c r="L94" s="60"/>
      <c r="M94" s="60"/>
      <c r="N94" s="60"/>
      <c r="O94" s="60"/>
      <c r="P94" s="60"/>
      <c r="Q94" s="60"/>
      <c r="R94" s="56"/>
      <c r="S94" s="56"/>
      <c r="T94" s="56"/>
      <c r="U94" s="56"/>
      <c r="V94" s="56"/>
      <c r="W94" s="56"/>
      <c r="X94" s="56"/>
      <c r="Y94" s="56"/>
    </row>
    <row r="95" spans="3:43" x14ac:dyDescent="0.35">
      <c r="E95" s="24"/>
      <c r="F95" t="s">
        <v>197</v>
      </c>
      <c r="G95" t="s">
        <v>167</v>
      </c>
      <c r="J95" s="60"/>
      <c r="K95" s="60"/>
      <c r="L95" s="60"/>
      <c r="M95" s="60"/>
      <c r="N95" s="237">
        <v>0.2</v>
      </c>
      <c r="O95" s="237">
        <v>1</v>
      </c>
      <c r="P95" s="237">
        <v>1</v>
      </c>
      <c r="Q95" s="60"/>
      <c r="R95" s="56"/>
      <c r="S95" s="56"/>
      <c r="T95" s="56"/>
      <c r="U95" s="56"/>
      <c r="V95" s="56"/>
      <c r="W95" s="56"/>
      <c r="X95" s="56"/>
      <c r="Y95" s="56"/>
    </row>
    <row r="96" spans="3:43" x14ac:dyDescent="0.35">
      <c r="E96" s="24"/>
      <c r="F96" t="s">
        <v>198</v>
      </c>
      <c r="G96" t="s">
        <v>167</v>
      </c>
      <c r="J96" s="60"/>
      <c r="K96" s="60"/>
      <c r="L96" s="60"/>
      <c r="M96" s="60"/>
      <c r="N96" s="237">
        <v>1</v>
      </c>
      <c r="O96" s="237">
        <v>1</v>
      </c>
      <c r="P96" s="60"/>
      <c r="Q96" s="60"/>
      <c r="R96" s="56"/>
      <c r="S96" s="56"/>
      <c r="T96" s="56"/>
      <c r="U96" s="56"/>
      <c r="V96" s="56"/>
      <c r="W96" s="56"/>
      <c r="X96" s="56"/>
      <c r="Y96" s="56"/>
    </row>
    <row r="97" spans="3:43" x14ac:dyDescent="0.35">
      <c r="E97" s="24"/>
      <c r="F97" s="28" t="s">
        <v>199</v>
      </c>
      <c r="G97" s="28" t="s">
        <v>167</v>
      </c>
      <c r="H97" s="28"/>
      <c r="I97" s="28"/>
      <c r="J97" s="238">
        <v>1</v>
      </c>
      <c r="K97" s="238">
        <v>1</v>
      </c>
      <c r="L97" s="238">
        <v>1</v>
      </c>
      <c r="M97" s="238">
        <v>1</v>
      </c>
      <c r="N97" s="238">
        <v>1</v>
      </c>
      <c r="O97" s="61"/>
      <c r="P97" s="61"/>
      <c r="Q97" s="238">
        <v>0</v>
      </c>
      <c r="R97" s="58"/>
      <c r="S97" s="58"/>
      <c r="T97" s="58"/>
      <c r="U97" s="58"/>
      <c r="V97" s="58"/>
      <c r="W97" s="58"/>
      <c r="X97" s="58"/>
      <c r="Y97" s="58"/>
    </row>
    <row r="99" spans="3:43" x14ac:dyDescent="0.35">
      <c r="C99" s="26" t="str">
        <f ca="1">INDEX('Version control'!$H$38:$H$61,MATCH($A$1,'Version control'!$F$38:$F$61,0),1)&amp;"-F: Flags"</f>
        <v>Input 101-F: Flags</v>
      </c>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row>
    <row r="101" spans="3:43" x14ac:dyDescent="0.35">
      <c r="D101" s="27" t="s">
        <v>204</v>
      </c>
      <c r="E101" s="27"/>
    </row>
    <row r="102" spans="3:43" x14ac:dyDescent="0.35">
      <c r="D102" s="24" t="s">
        <v>205</v>
      </c>
      <c r="E102" s="24"/>
    </row>
    <row r="103" spans="3:43" x14ac:dyDescent="0.35">
      <c r="D103" s="24" t="s">
        <v>206</v>
      </c>
      <c r="E103" s="24"/>
    </row>
    <row r="104" spans="3:43" x14ac:dyDescent="0.35">
      <c r="D104" s="24"/>
      <c r="E104" s="27" t="s">
        <v>207</v>
      </c>
    </row>
    <row r="105" spans="3:43" x14ac:dyDescent="0.35">
      <c r="D105" s="24"/>
      <c r="F105" s="23" t="s">
        <v>208</v>
      </c>
      <c r="G105" t="s">
        <v>209</v>
      </c>
      <c r="I105" t="s">
        <v>154</v>
      </c>
      <c r="J105" s="239" t="b">
        <v>0</v>
      </c>
      <c r="K105" s="239" t="b">
        <v>0</v>
      </c>
      <c r="L105" s="239" t="b">
        <v>0</v>
      </c>
      <c r="M105" s="239" t="b">
        <v>0</v>
      </c>
      <c r="N105" s="239" t="b">
        <v>0</v>
      </c>
      <c r="O105" s="239" t="b">
        <v>0</v>
      </c>
      <c r="P105" s="239" t="b">
        <v>0</v>
      </c>
      <c r="Q105" s="239" t="b">
        <v>0</v>
      </c>
      <c r="R105" s="239" t="b">
        <v>1</v>
      </c>
      <c r="S105" s="239" t="b">
        <v>1</v>
      </c>
      <c r="T105" s="239" t="b">
        <v>1</v>
      </c>
      <c r="U105" s="239" t="b">
        <v>1</v>
      </c>
      <c r="V105" s="239" t="b">
        <v>1</v>
      </c>
      <c r="W105" s="239" t="b">
        <v>1</v>
      </c>
      <c r="X105" s="239" t="b">
        <v>1</v>
      </c>
      <c r="Y105" s="239" t="b">
        <v>1</v>
      </c>
      <c r="AQ105" t="s">
        <v>210</v>
      </c>
    </row>
    <row r="106" spans="3:43" x14ac:dyDescent="0.35">
      <c r="D106" s="24"/>
      <c r="E106" s="23"/>
      <c r="F106" s="23" t="s">
        <v>211</v>
      </c>
      <c r="G106" t="s">
        <v>167</v>
      </c>
      <c r="J106" s="60"/>
      <c r="K106" s="60"/>
      <c r="L106" s="60"/>
      <c r="M106" s="60"/>
      <c r="N106" s="60"/>
      <c r="O106" s="60"/>
      <c r="P106" s="60"/>
      <c r="Q106" s="60"/>
      <c r="R106" s="240">
        <v>0</v>
      </c>
      <c r="S106" s="240">
        <v>0</v>
      </c>
      <c r="T106" s="240">
        <v>0</v>
      </c>
      <c r="U106" s="240">
        <v>0</v>
      </c>
      <c r="V106" s="240">
        <v>0</v>
      </c>
      <c r="W106" s="240">
        <v>0</v>
      </c>
      <c r="X106" s="240">
        <v>0</v>
      </c>
      <c r="Y106" s="240">
        <v>0</v>
      </c>
    </row>
    <row r="107" spans="3:43" x14ac:dyDescent="0.35">
      <c r="D107" s="24"/>
      <c r="E107" s="23"/>
      <c r="F107" s="23"/>
      <c r="J107" s="13"/>
      <c r="K107" s="13"/>
      <c r="L107" s="13"/>
      <c r="M107" s="13"/>
      <c r="N107" s="13"/>
      <c r="O107" s="13"/>
      <c r="P107" s="13"/>
      <c r="Q107" s="13"/>
      <c r="R107" s="13"/>
      <c r="S107" s="13"/>
      <c r="T107" s="13"/>
      <c r="U107" s="13"/>
      <c r="V107" s="13"/>
      <c r="W107" s="13"/>
      <c r="X107" s="13"/>
      <c r="Y107" s="13"/>
    </row>
    <row r="108" spans="3:43" x14ac:dyDescent="0.35">
      <c r="D108" s="24"/>
      <c r="E108" s="27" t="s">
        <v>212</v>
      </c>
      <c r="F108" s="23"/>
      <c r="J108" s="13"/>
      <c r="K108" s="13"/>
      <c r="L108" s="13"/>
      <c r="M108" s="13"/>
      <c r="N108" s="13"/>
      <c r="O108" s="13"/>
      <c r="P108" s="13"/>
      <c r="Q108" s="13"/>
      <c r="R108" s="13"/>
      <c r="S108" s="13"/>
      <c r="T108" s="13"/>
      <c r="U108" s="13"/>
      <c r="V108" s="13"/>
      <c r="W108" s="13"/>
      <c r="X108" s="13"/>
      <c r="Y108" s="13"/>
    </row>
    <row r="109" spans="3:43" x14ac:dyDescent="0.35">
      <c r="D109" s="24"/>
      <c r="F109" s="23" t="s">
        <v>208</v>
      </c>
      <c r="G109" t="s">
        <v>209</v>
      </c>
      <c r="J109" s="239" t="b">
        <v>0</v>
      </c>
      <c r="K109" s="239" t="b">
        <v>0</v>
      </c>
      <c r="L109" s="239" t="b">
        <v>0</v>
      </c>
      <c r="M109" s="239" t="b">
        <v>0</v>
      </c>
      <c r="N109" s="239" t="b">
        <v>0</v>
      </c>
      <c r="O109" s="239" t="b">
        <v>0</v>
      </c>
      <c r="P109" s="239" t="b">
        <v>0</v>
      </c>
      <c r="Q109" s="239" t="b">
        <v>0</v>
      </c>
      <c r="R109" s="239" t="b">
        <v>1</v>
      </c>
      <c r="S109" s="239" t="b">
        <v>1</v>
      </c>
      <c r="T109" s="239" t="b">
        <v>1</v>
      </c>
      <c r="U109" s="239" t="b">
        <v>1</v>
      </c>
      <c r="V109" s="239" t="b">
        <v>1</v>
      </c>
      <c r="W109" s="239" t="b">
        <v>1</v>
      </c>
      <c r="X109" s="239" t="b">
        <v>1</v>
      </c>
      <c r="Y109" s="239" t="b">
        <v>1</v>
      </c>
    </row>
    <row r="110" spans="3:43" x14ac:dyDescent="0.35">
      <c r="D110" s="24"/>
      <c r="E110" s="23"/>
      <c r="F110" s="23" t="s">
        <v>211</v>
      </c>
      <c r="G110" t="s">
        <v>167</v>
      </c>
      <c r="J110" s="60"/>
      <c r="K110" s="60"/>
      <c r="L110" s="60"/>
      <c r="M110" s="60"/>
      <c r="N110" s="60"/>
      <c r="O110" s="60"/>
      <c r="P110" s="60"/>
      <c r="Q110" s="60"/>
      <c r="R110" s="240">
        <v>1</v>
      </c>
      <c r="S110" s="240">
        <v>1</v>
      </c>
      <c r="T110" s="240">
        <v>1</v>
      </c>
      <c r="U110" s="240">
        <v>1</v>
      </c>
      <c r="V110" s="240">
        <v>1</v>
      </c>
      <c r="W110" s="240">
        <v>1</v>
      </c>
      <c r="X110" s="240">
        <v>1</v>
      </c>
      <c r="Y110" s="240">
        <v>1</v>
      </c>
    </row>
    <row r="111" spans="3:43" x14ac:dyDescent="0.35">
      <c r="D111" s="24"/>
      <c r="E111" s="23"/>
      <c r="F111" s="23"/>
      <c r="J111" s="13"/>
      <c r="K111" s="13"/>
      <c r="L111" s="13"/>
      <c r="M111" s="13"/>
      <c r="N111" s="13"/>
      <c r="O111" s="13"/>
      <c r="P111" s="13"/>
      <c r="Q111" s="13"/>
      <c r="R111" s="13"/>
      <c r="S111" s="13"/>
      <c r="T111" s="13"/>
      <c r="U111" s="13"/>
      <c r="V111" s="13"/>
      <c r="W111" s="13"/>
      <c r="X111" s="13"/>
      <c r="Y111" s="13"/>
    </row>
    <row r="112" spans="3:43" x14ac:dyDescent="0.35">
      <c r="D112" s="24"/>
      <c r="E112" s="27" t="s">
        <v>213</v>
      </c>
      <c r="F112" s="23"/>
      <c r="J112" s="13"/>
      <c r="K112" s="13"/>
      <c r="L112" s="13"/>
      <c r="M112" s="13"/>
      <c r="N112" s="13"/>
      <c r="O112" s="13"/>
      <c r="P112" s="13"/>
      <c r="Q112" s="13"/>
      <c r="R112" s="13"/>
      <c r="S112" s="13"/>
      <c r="T112" s="13"/>
      <c r="U112" s="13"/>
      <c r="V112" s="13"/>
      <c r="W112" s="13"/>
      <c r="X112" s="13"/>
      <c r="Y112" s="13"/>
    </row>
    <row r="113" spans="4:25" x14ac:dyDescent="0.35">
      <c r="D113" s="24"/>
      <c r="F113" s="23" t="s">
        <v>208</v>
      </c>
      <c r="G113" t="s">
        <v>209</v>
      </c>
      <c r="J113" s="239" t="b">
        <v>0</v>
      </c>
      <c r="K113" s="239" t="b">
        <v>0</v>
      </c>
      <c r="L113" s="239" t="b">
        <v>0</v>
      </c>
      <c r="M113" s="239" t="b">
        <v>0</v>
      </c>
      <c r="N113" s="239" t="b">
        <v>0</v>
      </c>
      <c r="O113" s="239" t="b">
        <v>0</v>
      </c>
      <c r="P113" s="239" t="b">
        <v>0</v>
      </c>
      <c r="Q113" s="239" t="b">
        <v>0</v>
      </c>
      <c r="R113" s="239" t="b">
        <v>1</v>
      </c>
      <c r="S113" s="239" t="b">
        <v>1</v>
      </c>
      <c r="T113" s="239" t="b">
        <v>1</v>
      </c>
      <c r="U113" s="239" t="b">
        <v>1</v>
      </c>
      <c r="V113" s="239" t="b">
        <v>1</v>
      </c>
      <c r="W113" s="239" t="b">
        <v>1</v>
      </c>
      <c r="X113" s="239" t="b">
        <v>1</v>
      </c>
      <c r="Y113" s="239" t="b">
        <v>1</v>
      </c>
    </row>
    <row r="114" spans="4:25" x14ac:dyDescent="0.35">
      <c r="D114" s="24"/>
      <c r="E114" s="23"/>
      <c r="F114" s="23" t="s">
        <v>211</v>
      </c>
      <c r="G114" t="s">
        <v>167</v>
      </c>
      <c r="J114" s="60"/>
      <c r="K114" s="60"/>
      <c r="L114" s="60"/>
      <c r="M114" s="60"/>
      <c r="N114" s="60"/>
      <c r="O114" s="60"/>
      <c r="P114" s="60"/>
      <c r="Q114" s="60"/>
      <c r="R114" s="240">
        <v>0</v>
      </c>
      <c r="S114" s="240">
        <v>0</v>
      </c>
      <c r="T114" s="240">
        <v>0</v>
      </c>
      <c r="U114" s="240">
        <v>0</v>
      </c>
      <c r="V114" s="240">
        <v>0</v>
      </c>
      <c r="W114" s="240">
        <v>0</v>
      </c>
      <c r="X114" s="240">
        <v>0</v>
      </c>
      <c r="Y114" s="240">
        <v>0</v>
      </c>
    </row>
    <row r="115" spans="4:25" x14ac:dyDescent="0.35">
      <c r="D115" s="24"/>
      <c r="E115" s="23"/>
      <c r="F115" s="23"/>
      <c r="J115" s="13"/>
      <c r="K115" s="13"/>
      <c r="L115" s="13"/>
      <c r="M115" s="13"/>
      <c r="N115" s="13"/>
      <c r="O115" s="13"/>
      <c r="P115" s="13"/>
      <c r="Q115" s="13"/>
      <c r="R115" s="13"/>
      <c r="S115" s="13"/>
      <c r="T115" s="13"/>
      <c r="U115" s="13"/>
      <c r="V115" s="13"/>
      <c r="W115" s="13"/>
      <c r="X115" s="13"/>
      <c r="Y115" s="13"/>
    </row>
    <row r="116" spans="4:25" x14ac:dyDescent="0.35">
      <c r="D116" s="24"/>
      <c r="E116" s="27" t="s">
        <v>214</v>
      </c>
      <c r="F116" s="23"/>
      <c r="J116" s="13"/>
      <c r="K116" s="13"/>
      <c r="L116" s="13"/>
      <c r="M116" s="13"/>
      <c r="N116" s="13"/>
      <c r="O116" s="13"/>
      <c r="P116" s="13"/>
      <c r="Q116" s="13"/>
      <c r="R116" s="13"/>
      <c r="S116" s="13"/>
      <c r="T116" s="13"/>
      <c r="U116" s="13"/>
      <c r="V116" s="13"/>
      <c r="W116" s="13"/>
      <c r="X116" s="13"/>
      <c r="Y116" s="13"/>
    </row>
    <row r="117" spans="4:25" x14ac:dyDescent="0.35">
      <c r="D117" s="24"/>
      <c r="F117" s="23" t="s">
        <v>208</v>
      </c>
      <c r="G117" t="s">
        <v>209</v>
      </c>
      <c r="J117" s="239" t="b">
        <v>0</v>
      </c>
      <c r="K117" s="239" t="b">
        <v>0</v>
      </c>
      <c r="L117" s="239" t="b">
        <v>0</v>
      </c>
      <c r="M117" s="239" t="b">
        <v>0</v>
      </c>
      <c r="N117" s="239" t="b">
        <v>0</v>
      </c>
      <c r="O117" s="239" t="b">
        <v>0</v>
      </c>
      <c r="P117" s="239" t="b">
        <v>0</v>
      </c>
      <c r="Q117" s="239" t="b">
        <v>0</v>
      </c>
      <c r="R117" s="239" t="b">
        <v>1</v>
      </c>
      <c r="S117" s="239" t="b">
        <v>1</v>
      </c>
      <c r="T117" s="239" t="b">
        <v>1</v>
      </c>
      <c r="U117" s="239" t="b">
        <v>1</v>
      </c>
      <c r="V117" s="239" t="b">
        <v>1</v>
      </c>
      <c r="W117" s="239" t="b">
        <v>1</v>
      </c>
      <c r="X117" s="239" t="b">
        <v>1</v>
      </c>
      <c r="Y117" s="239" t="b">
        <v>1</v>
      </c>
    </row>
    <row r="118" spans="4:25" x14ac:dyDescent="0.35">
      <c r="D118" s="24"/>
      <c r="E118" s="23"/>
      <c r="F118" s="23" t="s">
        <v>211</v>
      </c>
      <c r="G118" t="s">
        <v>167</v>
      </c>
      <c r="J118" s="60"/>
      <c r="K118" s="60"/>
      <c r="L118" s="60"/>
      <c r="M118" s="60"/>
      <c r="N118" s="60"/>
      <c r="O118" s="60"/>
      <c r="P118" s="60"/>
      <c r="Q118" s="60"/>
      <c r="R118" s="240">
        <v>0</v>
      </c>
      <c r="S118" s="240">
        <v>0</v>
      </c>
      <c r="T118" s="240">
        <v>0</v>
      </c>
      <c r="U118" s="240">
        <v>0</v>
      </c>
      <c r="V118" s="240">
        <v>0</v>
      </c>
      <c r="W118" s="240">
        <v>0</v>
      </c>
      <c r="X118" s="240">
        <v>0</v>
      </c>
      <c r="Y118" s="240">
        <v>0</v>
      </c>
    </row>
    <row r="119" spans="4:25" x14ac:dyDescent="0.35">
      <c r="D119" s="24"/>
      <c r="E119" s="23"/>
      <c r="F119" s="23"/>
      <c r="J119" s="13"/>
      <c r="K119" s="13"/>
      <c r="L119" s="13"/>
      <c r="M119" s="13"/>
      <c r="N119" s="13"/>
      <c r="O119" s="13"/>
      <c r="P119" s="13"/>
      <c r="Q119" s="13"/>
      <c r="R119" s="13"/>
      <c r="S119" s="13"/>
      <c r="T119" s="13"/>
      <c r="U119" s="13"/>
      <c r="V119" s="13"/>
      <c r="W119" s="13"/>
      <c r="X119" s="13"/>
      <c r="Y119" s="13"/>
    </row>
    <row r="120" spans="4:25" x14ac:dyDescent="0.35">
      <c r="D120" s="24"/>
      <c r="E120" s="27" t="s">
        <v>215</v>
      </c>
      <c r="F120" s="23"/>
      <c r="J120" s="13"/>
      <c r="K120" s="13"/>
      <c r="L120" s="13"/>
      <c r="M120" s="13"/>
      <c r="N120" s="13"/>
      <c r="O120" s="13"/>
      <c r="P120" s="13"/>
      <c r="Q120" s="13"/>
      <c r="R120" s="13"/>
      <c r="S120" s="13"/>
      <c r="T120" s="13"/>
      <c r="U120" s="13"/>
      <c r="V120" s="13"/>
      <c r="W120" s="13"/>
      <c r="X120" s="13"/>
      <c r="Y120" s="13"/>
    </row>
    <row r="121" spans="4:25" x14ac:dyDescent="0.35">
      <c r="D121" s="24"/>
      <c r="F121" s="23" t="s">
        <v>208</v>
      </c>
      <c r="G121" t="s">
        <v>209</v>
      </c>
      <c r="J121" s="239" t="b">
        <v>0</v>
      </c>
      <c r="K121" s="239" t="b">
        <v>0</v>
      </c>
      <c r="L121" s="239" t="b">
        <v>0</v>
      </c>
      <c r="M121" s="239" t="b">
        <v>0</v>
      </c>
      <c r="N121" s="239" t="b">
        <v>0</v>
      </c>
      <c r="O121" s="239" t="b">
        <v>0</v>
      </c>
      <c r="P121" s="239" t="b">
        <v>0</v>
      </c>
      <c r="Q121" s="239" t="b">
        <v>0</v>
      </c>
      <c r="R121" s="239" t="b">
        <v>1</v>
      </c>
      <c r="S121" s="239" t="b">
        <v>1</v>
      </c>
      <c r="T121" s="239" t="b">
        <v>1</v>
      </c>
      <c r="U121" s="239" t="b">
        <v>1</v>
      </c>
      <c r="V121" s="239" t="b">
        <v>1</v>
      </c>
      <c r="W121" s="239" t="b">
        <v>1</v>
      </c>
      <c r="X121" s="239" t="b">
        <v>1</v>
      </c>
      <c r="Y121" s="239" t="b">
        <v>1</v>
      </c>
    </row>
    <row r="122" spans="4:25" x14ac:dyDescent="0.35">
      <c r="D122" s="24"/>
      <c r="E122" s="23"/>
      <c r="F122" s="23" t="s">
        <v>211</v>
      </c>
      <c r="G122" t="s">
        <v>167</v>
      </c>
      <c r="J122" s="60"/>
      <c r="K122" s="60"/>
      <c r="L122" s="60"/>
      <c r="M122" s="60"/>
      <c r="N122" s="60"/>
      <c r="O122" s="60"/>
      <c r="P122" s="60"/>
      <c r="Q122" s="60"/>
      <c r="R122" s="240">
        <v>0</v>
      </c>
      <c r="S122" s="240">
        <v>0</v>
      </c>
      <c r="T122" s="240">
        <v>0</v>
      </c>
      <c r="U122" s="240">
        <v>0</v>
      </c>
      <c r="V122" s="240">
        <v>0</v>
      </c>
      <c r="W122" s="240">
        <v>0</v>
      </c>
      <c r="X122" s="240">
        <v>0</v>
      </c>
      <c r="Y122" s="240">
        <v>0</v>
      </c>
    </row>
    <row r="123" spans="4:25" x14ac:dyDescent="0.35">
      <c r="D123" s="24"/>
      <c r="E123" s="24"/>
      <c r="J123" s="13"/>
      <c r="K123" s="13"/>
      <c r="L123" s="13"/>
      <c r="M123" s="13"/>
      <c r="N123" s="13"/>
      <c r="O123" s="13"/>
      <c r="P123" s="13"/>
      <c r="Q123" s="13"/>
      <c r="R123" s="13"/>
      <c r="S123" s="13"/>
      <c r="T123" s="13"/>
      <c r="U123" s="13"/>
      <c r="V123" s="13"/>
      <c r="W123" s="13"/>
      <c r="X123" s="13"/>
      <c r="Y123" s="13"/>
    </row>
    <row r="124" spans="4:25" x14ac:dyDescent="0.35">
      <c r="E124" s="27" t="s">
        <v>216</v>
      </c>
      <c r="J124" s="13"/>
      <c r="K124" s="13"/>
      <c r="L124" s="13"/>
      <c r="M124" s="13"/>
      <c r="N124" s="13"/>
      <c r="O124" s="13"/>
      <c r="P124" s="13"/>
      <c r="Q124" s="13"/>
      <c r="R124" s="13"/>
      <c r="S124" s="13"/>
      <c r="T124" s="13"/>
      <c r="U124" s="13"/>
      <c r="V124" s="13"/>
      <c r="W124" s="13"/>
      <c r="X124" s="13"/>
      <c r="Y124" s="13"/>
    </row>
    <row r="125" spans="4:25" x14ac:dyDescent="0.35">
      <c r="E125" s="24" t="s">
        <v>217</v>
      </c>
      <c r="J125" s="13"/>
      <c r="K125" s="13"/>
      <c r="L125" s="13"/>
      <c r="M125" s="13"/>
      <c r="N125" s="13"/>
      <c r="O125" s="13"/>
      <c r="P125" s="13"/>
      <c r="Q125" s="13"/>
      <c r="R125" s="13"/>
      <c r="S125" s="13"/>
      <c r="T125" s="13"/>
      <c r="U125" s="13"/>
      <c r="V125" s="13"/>
      <c r="W125" s="13"/>
      <c r="X125" s="13"/>
      <c r="Y125" s="13"/>
    </row>
    <row r="126" spans="4:25" x14ac:dyDescent="0.35">
      <c r="E126" s="24" t="s">
        <v>218</v>
      </c>
      <c r="J126" s="13"/>
      <c r="K126" s="13"/>
      <c r="L126" s="13"/>
      <c r="M126" s="13"/>
      <c r="N126" s="13"/>
      <c r="O126" s="13"/>
      <c r="P126" s="13"/>
      <c r="Q126" s="13"/>
      <c r="R126" s="13"/>
      <c r="S126" s="13"/>
      <c r="T126" s="13"/>
      <c r="U126" s="13"/>
      <c r="V126" s="13"/>
      <c r="W126" s="13"/>
      <c r="X126" s="13"/>
      <c r="Y126" s="13"/>
    </row>
    <row r="127" spans="4:25" x14ac:dyDescent="0.35">
      <c r="E127" s="24"/>
      <c r="F127" t="s">
        <v>216</v>
      </c>
      <c r="G127" t="s">
        <v>209</v>
      </c>
      <c r="J127" s="239" t="b">
        <v>0</v>
      </c>
      <c r="K127" s="239" t="b">
        <v>0</v>
      </c>
      <c r="L127" s="239" t="b">
        <v>0</v>
      </c>
      <c r="M127" s="239" t="b">
        <v>0</v>
      </c>
      <c r="N127" s="239" t="b">
        <v>0</v>
      </c>
      <c r="O127" s="239" t="b">
        <v>0</v>
      </c>
      <c r="P127" s="239" t="b">
        <v>0</v>
      </c>
      <c r="Q127" s="239" t="b">
        <v>1</v>
      </c>
      <c r="R127" s="239" t="b">
        <v>0</v>
      </c>
      <c r="S127" s="239" t="b">
        <v>0</v>
      </c>
      <c r="T127" s="239" t="b">
        <v>0</v>
      </c>
      <c r="U127" s="239" t="b">
        <v>0</v>
      </c>
      <c r="V127" s="239" t="b">
        <v>0</v>
      </c>
      <c r="W127" s="239" t="b">
        <v>0</v>
      </c>
      <c r="X127" s="239" t="b">
        <v>0</v>
      </c>
      <c r="Y127" s="239" t="b">
        <v>0</v>
      </c>
    </row>
    <row r="128" spans="4:25" x14ac:dyDescent="0.35">
      <c r="E128" s="24"/>
      <c r="J128" s="13"/>
      <c r="K128" s="13"/>
      <c r="L128" s="13"/>
      <c r="M128" s="13"/>
      <c r="N128" s="13"/>
      <c r="O128" s="13"/>
      <c r="P128" s="13"/>
      <c r="Q128" s="13"/>
      <c r="R128" s="13"/>
      <c r="S128" s="13"/>
      <c r="T128" s="13"/>
      <c r="U128" s="13"/>
      <c r="V128" s="13"/>
      <c r="W128" s="13"/>
      <c r="X128" s="13"/>
      <c r="Y128" s="13"/>
    </row>
    <row r="129" spans="3:43" x14ac:dyDescent="0.35">
      <c r="E129" s="27" t="s">
        <v>219</v>
      </c>
      <c r="J129" s="13"/>
      <c r="K129" s="13"/>
      <c r="L129" s="13"/>
      <c r="M129" s="13"/>
      <c r="N129" s="13"/>
      <c r="O129" s="13"/>
      <c r="P129" s="13"/>
      <c r="Q129" s="13"/>
      <c r="R129" s="13"/>
      <c r="S129" s="13"/>
      <c r="T129" s="13"/>
      <c r="U129" s="13"/>
      <c r="V129" s="13"/>
      <c r="W129" s="13"/>
      <c r="X129" s="13"/>
      <c r="Y129" s="13"/>
    </row>
    <row r="130" spans="3:43" x14ac:dyDescent="0.35">
      <c r="E130" s="24" t="s">
        <v>220</v>
      </c>
      <c r="J130" s="13"/>
      <c r="K130" s="13"/>
      <c r="L130" s="13"/>
      <c r="M130" s="13"/>
      <c r="N130" s="13"/>
      <c r="O130" s="13"/>
      <c r="P130" s="13"/>
      <c r="Q130" s="13"/>
      <c r="R130" s="13"/>
      <c r="S130" s="13"/>
      <c r="T130" s="13"/>
      <c r="U130" s="13"/>
      <c r="V130" s="13"/>
      <c r="W130" s="13"/>
      <c r="X130" s="13"/>
      <c r="Y130" s="13"/>
    </row>
    <row r="131" spans="3:43" x14ac:dyDescent="0.35">
      <c r="E131" s="24"/>
      <c r="F131" t="s">
        <v>221</v>
      </c>
      <c r="G131" t="s">
        <v>209</v>
      </c>
      <c r="J131" s="239" t="b">
        <v>1</v>
      </c>
      <c r="K131" s="239" t="b">
        <v>0</v>
      </c>
      <c r="L131" s="239" t="b">
        <v>1</v>
      </c>
      <c r="M131" s="239" t="b">
        <v>0</v>
      </c>
      <c r="N131" s="239" t="b">
        <v>1</v>
      </c>
      <c r="O131" s="239" t="b">
        <v>1</v>
      </c>
      <c r="P131" s="239" t="b">
        <v>1</v>
      </c>
      <c r="Q131" s="239" t="b">
        <v>1</v>
      </c>
      <c r="R131" s="239" t="b">
        <v>1</v>
      </c>
      <c r="S131" s="239" t="b">
        <v>1</v>
      </c>
      <c r="T131" s="239" t="b">
        <v>1</v>
      </c>
      <c r="U131" s="239" t="b">
        <v>1</v>
      </c>
      <c r="V131" s="239" t="b">
        <v>1</v>
      </c>
      <c r="W131" s="239" t="b">
        <v>1</v>
      </c>
      <c r="X131" s="239" t="b">
        <v>1</v>
      </c>
      <c r="Y131" s="239" t="b">
        <v>1</v>
      </c>
    </row>
    <row r="132" spans="3:43" x14ac:dyDescent="0.35">
      <c r="D132" s="24"/>
      <c r="J132" s="13"/>
      <c r="K132" s="13"/>
      <c r="L132" s="13"/>
      <c r="M132" s="13"/>
      <c r="N132" s="13"/>
      <c r="O132" s="13"/>
      <c r="P132" s="13"/>
      <c r="Q132" s="13"/>
      <c r="R132" s="13"/>
      <c r="S132" s="13"/>
      <c r="T132" s="13"/>
      <c r="U132" s="13"/>
      <c r="V132" s="13"/>
      <c r="W132" s="13"/>
      <c r="X132" s="13"/>
      <c r="Y132" s="13"/>
    </row>
    <row r="133" spans="3:43" x14ac:dyDescent="0.35">
      <c r="E133" s="27" t="s">
        <v>222</v>
      </c>
      <c r="I133" t="s">
        <v>154</v>
      </c>
      <c r="J133" s="13"/>
      <c r="K133" s="13"/>
      <c r="L133" s="13"/>
      <c r="M133" s="13"/>
      <c r="N133" s="13"/>
      <c r="O133" s="13"/>
      <c r="P133" s="13"/>
      <c r="Q133" s="13"/>
      <c r="R133" s="13"/>
      <c r="S133" s="13"/>
      <c r="T133" s="13"/>
      <c r="U133" s="13"/>
      <c r="V133" s="13"/>
      <c r="W133" s="13"/>
      <c r="X133" s="13"/>
      <c r="Y133" s="13"/>
      <c r="AQ133" t="s">
        <v>223</v>
      </c>
    </row>
    <row r="134" spans="3:43" x14ac:dyDescent="0.35">
      <c r="E134" s="24" t="s">
        <v>224</v>
      </c>
      <c r="J134" s="13"/>
      <c r="K134" s="13"/>
      <c r="L134" s="13"/>
      <c r="M134" s="13"/>
      <c r="N134" s="13"/>
      <c r="O134" s="13"/>
      <c r="P134" s="13"/>
      <c r="Q134" s="13"/>
      <c r="R134" s="13"/>
      <c r="S134" s="13"/>
      <c r="T134" s="13"/>
      <c r="U134" s="13"/>
      <c r="V134" s="13"/>
      <c r="W134" s="13"/>
      <c r="X134" s="13"/>
      <c r="Y134" s="13"/>
    </row>
    <row r="135" spans="3:43" x14ac:dyDescent="0.35">
      <c r="E135" s="24" t="s">
        <v>225</v>
      </c>
      <c r="J135" s="13"/>
      <c r="K135" s="13"/>
      <c r="L135" s="13"/>
      <c r="M135" s="13"/>
      <c r="N135" s="13"/>
      <c r="O135" s="13"/>
      <c r="P135" s="13"/>
      <c r="Q135" s="13"/>
      <c r="R135" s="13"/>
      <c r="S135" s="13"/>
      <c r="T135" s="13"/>
      <c r="U135" s="13"/>
      <c r="V135" s="13"/>
      <c r="W135" s="13"/>
      <c r="X135" s="13"/>
      <c r="Y135" s="13"/>
    </row>
    <row r="136" spans="3:43" x14ac:dyDescent="0.35">
      <c r="E136" s="24"/>
      <c r="F136" t="s">
        <v>160</v>
      </c>
      <c r="G136" t="s">
        <v>176</v>
      </c>
      <c r="J136" s="239">
        <v>0</v>
      </c>
      <c r="K136" s="239">
        <v>0</v>
      </c>
      <c r="L136" s="239">
        <v>0</v>
      </c>
      <c r="M136" s="239">
        <v>0</v>
      </c>
      <c r="N136" s="239">
        <v>1</v>
      </c>
      <c r="O136" s="239">
        <v>1</v>
      </c>
      <c r="P136" s="239">
        <v>1</v>
      </c>
      <c r="Q136" s="239">
        <v>0</v>
      </c>
      <c r="R136" s="239">
        <v>0</v>
      </c>
      <c r="S136" s="239">
        <v>0</v>
      </c>
      <c r="T136" s="239">
        <v>0</v>
      </c>
      <c r="U136" s="239">
        <v>0</v>
      </c>
      <c r="V136" s="239">
        <v>0</v>
      </c>
      <c r="W136" s="239">
        <v>0</v>
      </c>
      <c r="X136" s="239">
        <v>0</v>
      </c>
      <c r="Y136" s="239">
        <v>0</v>
      </c>
    </row>
    <row r="137" spans="3:43" x14ac:dyDescent="0.35">
      <c r="E137" s="24"/>
      <c r="F137" t="s">
        <v>161</v>
      </c>
      <c r="G137" t="s">
        <v>176</v>
      </c>
      <c r="J137" s="239">
        <v>0</v>
      </c>
      <c r="K137" s="239">
        <v>0</v>
      </c>
      <c r="L137" s="239">
        <v>0</v>
      </c>
      <c r="M137" s="239">
        <v>0</v>
      </c>
      <c r="N137" s="239">
        <v>1</v>
      </c>
      <c r="O137" s="239">
        <v>1</v>
      </c>
      <c r="P137" s="239">
        <v>1</v>
      </c>
      <c r="Q137" s="239">
        <v>0</v>
      </c>
      <c r="R137" s="239">
        <v>0</v>
      </c>
      <c r="S137" s="239">
        <v>0</v>
      </c>
      <c r="T137" s="239">
        <v>0</v>
      </c>
      <c r="U137" s="239">
        <v>0</v>
      </c>
      <c r="V137" s="239">
        <v>0</v>
      </c>
      <c r="W137" s="239">
        <v>0</v>
      </c>
      <c r="X137" s="239">
        <v>0</v>
      </c>
      <c r="Y137" s="239">
        <v>0</v>
      </c>
    </row>
    <row r="138" spans="3:43" x14ac:dyDescent="0.35">
      <c r="E138" s="24"/>
      <c r="F138" t="s">
        <v>226</v>
      </c>
      <c r="G138" t="s">
        <v>176</v>
      </c>
      <c r="J138" s="239">
        <v>0</v>
      </c>
      <c r="K138" s="239">
        <v>0</v>
      </c>
      <c r="L138" s="239">
        <v>0</v>
      </c>
      <c r="M138" s="239">
        <v>0</v>
      </c>
      <c r="N138" s="239">
        <v>1</v>
      </c>
      <c r="O138" s="239">
        <v>1</v>
      </c>
      <c r="P138" s="239">
        <v>1</v>
      </c>
      <c r="Q138" s="239">
        <v>0</v>
      </c>
      <c r="R138" s="239">
        <v>0</v>
      </c>
      <c r="S138" s="239">
        <v>0</v>
      </c>
      <c r="T138" s="239">
        <v>1</v>
      </c>
      <c r="U138" s="239">
        <v>0</v>
      </c>
      <c r="V138" s="239">
        <v>1</v>
      </c>
      <c r="W138" s="239">
        <v>0</v>
      </c>
      <c r="X138" s="239">
        <v>1</v>
      </c>
      <c r="Y138" s="239">
        <v>0</v>
      </c>
    </row>
    <row r="139" spans="3:43" x14ac:dyDescent="0.35">
      <c r="E139" s="24"/>
      <c r="F139" t="s">
        <v>227</v>
      </c>
      <c r="G139" t="s">
        <v>176</v>
      </c>
      <c r="J139" s="239">
        <v>1</v>
      </c>
      <c r="K139" s="239">
        <v>0</v>
      </c>
      <c r="L139" s="239">
        <v>1</v>
      </c>
      <c r="M139" s="239">
        <v>0</v>
      </c>
      <c r="N139" s="239">
        <v>0</v>
      </c>
      <c r="O139" s="239">
        <v>0</v>
      </c>
      <c r="P139" s="239">
        <v>0</v>
      </c>
      <c r="Q139" s="239">
        <v>0</v>
      </c>
      <c r="R139" s="239">
        <v>0</v>
      </c>
      <c r="S139" s="239">
        <v>0</v>
      </c>
      <c r="T139" s="239">
        <v>0</v>
      </c>
      <c r="U139" s="239">
        <v>0</v>
      </c>
      <c r="V139" s="239">
        <v>0</v>
      </c>
      <c r="W139" s="239">
        <v>0</v>
      </c>
      <c r="X139" s="239">
        <v>0</v>
      </c>
      <c r="Y139" s="239">
        <v>0</v>
      </c>
    </row>
    <row r="140" spans="3:43" x14ac:dyDescent="0.35">
      <c r="D140" s="24"/>
      <c r="J140" s="13"/>
      <c r="K140" s="13"/>
      <c r="L140" s="13"/>
      <c r="M140" s="13"/>
      <c r="N140" s="13"/>
      <c r="O140" s="13"/>
      <c r="P140" s="13"/>
      <c r="Q140" s="13"/>
      <c r="R140" s="13"/>
      <c r="S140" s="13"/>
      <c r="T140" s="13"/>
      <c r="U140" s="13"/>
      <c r="V140" s="13"/>
      <c r="W140" s="13"/>
      <c r="X140" s="13"/>
      <c r="Y140" s="13"/>
    </row>
    <row r="141" spans="3:43" x14ac:dyDescent="0.35">
      <c r="C141" s="26" t="str">
        <f ca="1">INDEX('Version control'!$H$38:$H$61,MATCH($A$1,'Version control'!$F$38:$F$61,0),1)&amp;"-G: Identifiers for customer groupings"</f>
        <v>Input 101-G: Identifiers for customer groupings</v>
      </c>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row>
    <row r="143" spans="3:43" x14ac:dyDescent="0.35">
      <c r="E143" s="27" t="s">
        <v>228</v>
      </c>
      <c r="F143" s="27"/>
    </row>
    <row r="144" spans="3:43" x14ac:dyDescent="0.35">
      <c r="E144" s="24" t="s">
        <v>229</v>
      </c>
      <c r="F144" s="24"/>
      <c r="I144" t="s">
        <v>154</v>
      </c>
      <c r="AQ144" t="s">
        <v>898</v>
      </c>
    </row>
    <row r="145" spans="3:44" x14ac:dyDescent="0.35">
      <c r="E145" s="24"/>
      <c r="F145" s="23" t="s">
        <v>228</v>
      </c>
      <c r="G145" t="s">
        <v>149</v>
      </c>
      <c r="J145" s="232">
        <v>1</v>
      </c>
      <c r="K145" s="60"/>
      <c r="L145" s="232">
        <v>1</v>
      </c>
      <c r="M145" s="60"/>
      <c r="N145" s="60"/>
      <c r="O145" s="60"/>
      <c r="P145" s="60"/>
      <c r="Q145" s="60"/>
      <c r="R145" s="60"/>
      <c r="S145" s="60"/>
      <c r="T145" s="60"/>
      <c r="U145" s="60"/>
      <c r="V145" s="60"/>
      <c r="W145" s="60"/>
      <c r="X145" s="60"/>
      <c r="Y145" s="60"/>
    </row>
    <row r="146" spans="3:44" x14ac:dyDescent="0.35">
      <c r="E146" s="24"/>
      <c r="F146" s="24"/>
    </row>
    <row r="147" spans="3:44" x14ac:dyDescent="0.35">
      <c r="E147" s="27" t="s">
        <v>844</v>
      </c>
      <c r="F147" s="27"/>
      <c r="I147" t="s">
        <v>154</v>
      </c>
      <c r="AQ147" t="s">
        <v>857</v>
      </c>
    </row>
    <row r="148" spans="3:44" x14ac:dyDescent="0.35">
      <c r="E148" s="24" t="s">
        <v>845</v>
      </c>
      <c r="F148" s="24"/>
    </row>
    <row r="149" spans="3:44" x14ac:dyDescent="0.35">
      <c r="E149" s="24"/>
      <c r="F149" s="23" t="s">
        <v>846</v>
      </c>
      <c r="G149" t="s">
        <v>149</v>
      </c>
      <c r="J149" s="232">
        <v>1</v>
      </c>
      <c r="K149" s="232">
        <v>1</v>
      </c>
      <c r="L149" s="232">
        <v>2</v>
      </c>
      <c r="M149" s="232">
        <v>2</v>
      </c>
      <c r="N149" s="232">
        <v>3</v>
      </c>
      <c r="O149" s="232">
        <v>4</v>
      </c>
      <c r="P149" s="232">
        <v>5</v>
      </c>
      <c r="Q149" s="60"/>
      <c r="R149" s="60"/>
      <c r="S149" s="60"/>
      <c r="T149" s="60"/>
      <c r="U149" s="60"/>
      <c r="V149" s="60"/>
      <c r="W149" s="60"/>
      <c r="X149" s="60"/>
      <c r="Y149" s="60"/>
    </row>
    <row r="150" spans="3:44" x14ac:dyDescent="0.35">
      <c r="E150" s="24"/>
      <c r="F150" s="24"/>
    </row>
    <row r="151" spans="3:44" x14ac:dyDescent="0.35">
      <c r="C151" s="26" t="str">
        <f ca="1">INDEX('Version control'!$H$38:$H$61,MATCH($A$1,'Version control'!$F$38:$F$61,0),1)&amp;"-H: Decimal places for error checks"</f>
        <v>Input 101-H: Decimal places for error checks</v>
      </c>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row>
    <row r="153" spans="3:44" x14ac:dyDescent="0.35">
      <c r="E153" t="s">
        <v>230</v>
      </c>
      <c r="G153" t="s">
        <v>149</v>
      </c>
      <c r="H153" s="232">
        <v>3</v>
      </c>
    </row>
    <row r="155" spans="3:44" x14ac:dyDescent="0.35">
      <c r="C155" s="26" t="str">
        <f ca="1">INDEX('Version control'!$H$38:$H$61,MATCH($A$1,'Version control'!$F$38:$F$61,0),1)&amp;"-I: Map of applicable MPANs"</f>
        <v>Input 101-I: Map of applicable MPANs</v>
      </c>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row>
    <row r="157" spans="3:44" x14ac:dyDescent="0.35">
      <c r="C157" s="78"/>
      <c r="D157" s="2"/>
      <c r="E157" s="27" t="s">
        <v>870</v>
      </c>
      <c r="I157" t="s">
        <v>154</v>
      </c>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t="s">
        <v>1161</v>
      </c>
      <c r="AR157" s="79"/>
    </row>
    <row r="158" spans="3:44" x14ac:dyDescent="0.35">
      <c r="C158" s="78"/>
      <c r="D158" s="2"/>
      <c r="F158" s="19" t="s">
        <v>871</v>
      </c>
      <c r="G158" s="19" t="s">
        <v>176</v>
      </c>
      <c r="H158" s="19"/>
      <c r="I158" s="19"/>
      <c r="J158" s="310">
        <v>1</v>
      </c>
      <c r="K158" s="310">
        <v>0</v>
      </c>
      <c r="L158" s="310">
        <v>0</v>
      </c>
      <c r="M158" s="310">
        <v>0</v>
      </c>
      <c r="N158" s="310">
        <v>0</v>
      </c>
      <c r="O158" s="310">
        <v>0</v>
      </c>
      <c r="P158" s="310">
        <v>0</v>
      </c>
      <c r="Q158" s="310">
        <v>0</v>
      </c>
      <c r="R158" s="310">
        <v>0</v>
      </c>
      <c r="S158" s="310">
        <v>0</v>
      </c>
      <c r="T158" s="310">
        <v>0</v>
      </c>
      <c r="U158" s="310">
        <v>0</v>
      </c>
      <c r="V158" s="310">
        <v>0</v>
      </c>
      <c r="W158" s="310">
        <v>0</v>
      </c>
      <c r="X158" s="310">
        <v>0</v>
      </c>
      <c r="Y158" s="310">
        <v>0</v>
      </c>
      <c r="Z158" s="79"/>
      <c r="AA158" s="79"/>
      <c r="AB158" s="79"/>
      <c r="AC158" s="79"/>
      <c r="AD158" s="79"/>
      <c r="AE158" s="79"/>
      <c r="AF158" s="79"/>
      <c r="AG158" s="79"/>
      <c r="AH158" s="79"/>
      <c r="AI158" s="79"/>
      <c r="AJ158" s="79"/>
      <c r="AK158" s="79"/>
      <c r="AL158" s="79"/>
      <c r="AM158" s="79"/>
      <c r="AN158" s="79"/>
      <c r="AO158" s="79"/>
      <c r="AP158" s="79"/>
      <c r="AQ158" s="79"/>
      <c r="AR158" s="79"/>
    </row>
    <row r="159" spans="3:44" x14ac:dyDescent="0.35">
      <c r="C159" s="78"/>
      <c r="D159" s="2"/>
      <c r="F159" t="s">
        <v>872</v>
      </c>
      <c r="G159" t="s">
        <v>176</v>
      </c>
      <c r="J159" s="321">
        <v>1</v>
      </c>
      <c r="K159" s="321">
        <v>0</v>
      </c>
      <c r="L159" s="321">
        <v>1</v>
      </c>
      <c r="M159" s="321">
        <v>0</v>
      </c>
      <c r="N159" s="321">
        <v>1</v>
      </c>
      <c r="O159" s="321">
        <v>1</v>
      </c>
      <c r="P159" s="321">
        <v>1</v>
      </c>
      <c r="Q159" s="321">
        <v>0</v>
      </c>
      <c r="R159" s="321">
        <v>0</v>
      </c>
      <c r="S159" s="321">
        <v>0</v>
      </c>
      <c r="T159" s="321">
        <v>0</v>
      </c>
      <c r="U159" s="321">
        <v>0</v>
      </c>
      <c r="V159" s="321">
        <v>0</v>
      </c>
      <c r="W159" s="321">
        <v>0</v>
      </c>
      <c r="X159" s="321">
        <v>0</v>
      </c>
      <c r="Y159" s="321">
        <v>0</v>
      </c>
      <c r="Z159" s="79"/>
      <c r="AA159" s="79"/>
      <c r="AB159" s="79"/>
      <c r="AC159" s="79"/>
      <c r="AD159" s="79"/>
      <c r="AE159" s="79"/>
      <c r="AF159" s="79"/>
      <c r="AG159" s="79"/>
      <c r="AH159" s="79"/>
      <c r="AI159" s="79"/>
      <c r="AJ159" s="79"/>
      <c r="AK159" s="79"/>
      <c r="AL159" s="79"/>
      <c r="AM159" s="79"/>
      <c r="AN159" s="79"/>
      <c r="AO159" s="79"/>
      <c r="AP159" s="79"/>
      <c r="AQ159" s="79"/>
      <c r="AR159" s="79"/>
    </row>
    <row r="160" spans="3:44" x14ac:dyDescent="0.35">
      <c r="C160" s="78"/>
      <c r="D160" s="2"/>
      <c r="F160" s="28" t="s">
        <v>1151</v>
      </c>
      <c r="G160" s="28" t="s">
        <v>176</v>
      </c>
      <c r="H160" s="28"/>
      <c r="I160" s="28"/>
      <c r="J160" s="311">
        <v>1</v>
      </c>
      <c r="K160" s="311">
        <v>0</v>
      </c>
      <c r="L160" s="311">
        <v>1</v>
      </c>
      <c r="M160" s="311">
        <v>0</v>
      </c>
      <c r="N160" s="311">
        <v>1</v>
      </c>
      <c r="O160" s="311">
        <v>1</v>
      </c>
      <c r="P160" s="311">
        <v>1</v>
      </c>
      <c r="Q160" s="311">
        <v>0</v>
      </c>
      <c r="R160" s="311">
        <v>0</v>
      </c>
      <c r="S160" s="311">
        <v>0</v>
      </c>
      <c r="T160" s="311">
        <v>0</v>
      </c>
      <c r="U160" s="311">
        <v>0</v>
      </c>
      <c r="V160" s="311">
        <v>0</v>
      </c>
      <c r="W160" s="311">
        <v>0</v>
      </c>
      <c r="X160" s="311">
        <v>0</v>
      </c>
      <c r="Y160" s="311">
        <v>0</v>
      </c>
      <c r="Z160" s="79"/>
      <c r="AA160" s="79"/>
      <c r="AB160" s="79"/>
      <c r="AC160" s="79"/>
      <c r="AD160" s="79"/>
      <c r="AE160" s="79"/>
      <c r="AF160" s="79"/>
      <c r="AG160" s="79"/>
      <c r="AH160" s="79"/>
      <c r="AI160" s="79"/>
      <c r="AJ160" s="79"/>
      <c r="AK160" s="79"/>
      <c r="AL160" s="79"/>
      <c r="AM160" s="79"/>
      <c r="AN160" s="79"/>
      <c r="AO160" s="79"/>
      <c r="AP160" s="79"/>
      <c r="AQ160" s="79"/>
      <c r="AR160" s="79"/>
    </row>
    <row r="161" spans="3:44" x14ac:dyDescent="0.35">
      <c r="C161" s="78"/>
      <c r="D161" s="2"/>
      <c r="AR161" s="79"/>
    </row>
    <row r="162" spans="3:44" x14ac:dyDescent="0.35">
      <c r="C162" s="26" t="str">
        <f ca="1">INDEX('Version control'!$H$38:$H$61,MATCH($A$1,'Version control'!$F$38:$F$61,0),1)&amp;"-J: Revenue matching inputs"</f>
        <v>Input 101-J: Revenue matching inputs</v>
      </c>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row>
    <row r="163" spans="3:44" x14ac:dyDescent="0.35">
      <c r="C163" s="78"/>
      <c r="D163" s="2"/>
      <c r="AR163" s="79"/>
    </row>
    <row r="164" spans="3:44" ht="43.5" x14ac:dyDescent="0.35">
      <c r="C164" s="78"/>
      <c r="D164" s="2"/>
      <c r="E164" s="27" t="s">
        <v>1007</v>
      </c>
      <c r="J164" s="104" t="s">
        <v>908</v>
      </c>
      <c r="K164" s="104" t="s">
        <v>829</v>
      </c>
      <c r="L164" s="104" t="s">
        <v>909</v>
      </c>
      <c r="M164" s="104" t="s">
        <v>910</v>
      </c>
      <c r="N164" s="104" t="s">
        <v>911</v>
      </c>
      <c r="O164" s="104" t="s">
        <v>912</v>
      </c>
      <c r="P164" s="104" t="s">
        <v>913</v>
      </c>
      <c r="Q164" s="104" t="s">
        <v>830</v>
      </c>
      <c r="R164" s="104" t="s">
        <v>914</v>
      </c>
      <c r="S164" s="104" t="s">
        <v>915</v>
      </c>
      <c r="T164" s="104" t="s">
        <v>916</v>
      </c>
      <c r="U164" s="104" t="s">
        <v>917</v>
      </c>
      <c r="V164" s="104" t="s">
        <v>918</v>
      </c>
      <c r="W164" s="104" t="s">
        <v>919</v>
      </c>
      <c r="X164" s="104" t="s">
        <v>920</v>
      </c>
      <c r="Y164" s="104" t="s">
        <v>921</v>
      </c>
      <c r="Z164" s="104" t="s">
        <v>922</v>
      </c>
      <c r="AA164" s="104" t="s">
        <v>923</v>
      </c>
      <c r="AB164" s="104" t="s">
        <v>924</v>
      </c>
      <c r="AC164" s="104" t="s">
        <v>925</v>
      </c>
      <c r="AD164" s="104" t="s">
        <v>926</v>
      </c>
      <c r="AE164" s="104" t="s">
        <v>927</v>
      </c>
      <c r="AF164" s="104" t="s">
        <v>928</v>
      </c>
      <c r="AG164" s="104" t="s">
        <v>839</v>
      </c>
      <c r="AH164" s="104" t="s">
        <v>831</v>
      </c>
      <c r="AI164" s="104" t="s">
        <v>832</v>
      </c>
      <c r="AJ164" s="104" t="s">
        <v>833</v>
      </c>
      <c r="AK164" s="104" t="s">
        <v>842</v>
      </c>
      <c r="AL164" s="104" t="s">
        <v>834</v>
      </c>
      <c r="AM164" s="104" t="s">
        <v>841</v>
      </c>
      <c r="AN164" s="104" t="s">
        <v>835</v>
      </c>
      <c r="AO164" s="104" t="s">
        <v>840</v>
      </c>
      <c r="AR164" s="79"/>
    </row>
    <row r="165" spans="3:44" x14ac:dyDescent="0.35">
      <c r="C165" s="78"/>
      <c r="D165" s="2"/>
      <c r="F165" s="19" t="s">
        <v>1006</v>
      </c>
      <c r="G165" s="19" t="s">
        <v>907</v>
      </c>
      <c r="H165" s="19"/>
      <c r="I165" s="19"/>
      <c r="J165" s="354" t="b">
        <v>1</v>
      </c>
      <c r="K165" s="354" t="b">
        <v>0</v>
      </c>
      <c r="L165" s="354" t="b">
        <v>0</v>
      </c>
      <c r="M165" s="354" t="b">
        <v>1</v>
      </c>
      <c r="N165" s="354" t="b">
        <v>1</v>
      </c>
      <c r="O165" s="354" t="b">
        <v>1</v>
      </c>
      <c r="P165" s="354" t="b">
        <v>1</v>
      </c>
      <c r="Q165" s="354" t="b">
        <v>0</v>
      </c>
      <c r="R165" s="354" t="b">
        <v>0</v>
      </c>
      <c r="S165" s="354" t="b">
        <v>1</v>
      </c>
      <c r="T165" s="354" t="b">
        <v>1</v>
      </c>
      <c r="U165" s="354" t="b">
        <v>1</v>
      </c>
      <c r="V165" s="354" t="b">
        <v>1</v>
      </c>
      <c r="W165" s="354" t="b">
        <v>0</v>
      </c>
      <c r="X165" s="354" t="b">
        <v>1</v>
      </c>
      <c r="Y165" s="354" t="b">
        <v>1</v>
      </c>
      <c r="Z165" s="354" t="b">
        <v>1</v>
      </c>
      <c r="AA165" s="354" t="b">
        <v>1</v>
      </c>
      <c r="AB165" s="354" t="b">
        <v>0</v>
      </c>
      <c r="AC165" s="354" t="b">
        <v>1</v>
      </c>
      <c r="AD165" s="354" t="b">
        <v>1</v>
      </c>
      <c r="AE165" s="354" t="b">
        <v>1</v>
      </c>
      <c r="AF165" s="354" t="b">
        <v>1</v>
      </c>
      <c r="AG165" s="354" t="b">
        <v>1</v>
      </c>
      <c r="AH165" s="354" t="b">
        <v>0</v>
      </c>
      <c r="AI165" s="354" t="b">
        <v>0</v>
      </c>
      <c r="AJ165" s="354" t="b">
        <v>0</v>
      </c>
      <c r="AK165" s="354" t="b">
        <v>0</v>
      </c>
      <c r="AL165" s="354" t="b">
        <v>0</v>
      </c>
      <c r="AM165" s="354" t="b">
        <v>0</v>
      </c>
      <c r="AN165" s="354" t="b">
        <v>0</v>
      </c>
      <c r="AO165" s="354" t="b">
        <v>0</v>
      </c>
      <c r="AR165" s="79"/>
    </row>
    <row r="166" spans="3:44" x14ac:dyDescent="0.35">
      <c r="C166" s="78"/>
      <c r="D166" s="2"/>
      <c r="F166" t="s">
        <v>933</v>
      </c>
      <c r="G166" t="s">
        <v>907</v>
      </c>
      <c r="J166" s="352" t="b">
        <v>1</v>
      </c>
      <c r="K166" s="351"/>
      <c r="L166" s="351"/>
      <c r="M166" s="352" t="b">
        <v>1</v>
      </c>
      <c r="N166" s="352" t="b">
        <v>1</v>
      </c>
      <c r="O166" s="352" t="b">
        <v>1</v>
      </c>
      <c r="P166" s="352" t="b">
        <v>1</v>
      </c>
      <c r="Q166" s="351"/>
      <c r="R166" s="351"/>
      <c r="S166" s="352" t="b">
        <v>1</v>
      </c>
      <c r="T166" s="352" t="b">
        <v>1</v>
      </c>
      <c r="U166" s="352" t="b">
        <v>1</v>
      </c>
      <c r="V166" s="352" t="b">
        <v>1</v>
      </c>
      <c r="W166" s="351"/>
      <c r="X166" s="352" t="b">
        <v>1</v>
      </c>
      <c r="Y166" s="352" t="b">
        <v>1</v>
      </c>
      <c r="Z166" s="352" t="b">
        <v>1</v>
      </c>
      <c r="AA166" s="352" t="b">
        <v>1</v>
      </c>
      <c r="AB166" s="351"/>
      <c r="AC166" s="352" t="b">
        <v>1</v>
      </c>
      <c r="AD166" s="352" t="b">
        <v>1</v>
      </c>
      <c r="AE166" s="352" t="b">
        <v>1</v>
      </c>
      <c r="AF166" s="352" t="b">
        <v>1</v>
      </c>
      <c r="AG166" s="352" t="b">
        <v>0</v>
      </c>
      <c r="AH166" s="351"/>
      <c r="AI166" s="351"/>
      <c r="AJ166" s="351"/>
      <c r="AK166" s="351"/>
      <c r="AL166" s="351"/>
      <c r="AM166" s="351"/>
      <c r="AN166" s="351"/>
      <c r="AO166" s="351"/>
      <c r="AR166" s="79"/>
    </row>
    <row r="167" spans="3:44" x14ac:dyDescent="0.35">
      <c r="C167" s="78"/>
      <c r="D167" s="2"/>
      <c r="F167" t="s">
        <v>1004</v>
      </c>
      <c r="G167" t="s">
        <v>907</v>
      </c>
      <c r="J167" s="352" t="b">
        <v>0</v>
      </c>
      <c r="K167" s="351"/>
      <c r="L167" s="351"/>
      <c r="M167" s="352" t="b">
        <v>0</v>
      </c>
      <c r="N167" s="352" t="b">
        <v>0</v>
      </c>
      <c r="O167" s="352" t="b">
        <v>0</v>
      </c>
      <c r="P167" s="352" t="b">
        <v>0</v>
      </c>
      <c r="Q167" s="351"/>
      <c r="R167" s="351"/>
      <c r="S167" s="352" t="b">
        <v>0</v>
      </c>
      <c r="T167" s="352" t="b">
        <v>0</v>
      </c>
      <c r="U167" s="352" t="b">
        <v>0</v>
      </c>
      <c r="V167" s="352" t="b">
        <v>0</v>
      </c>
      <c r="W167" s="351"/>
      <c r="X167" s="352" t="b">
        <v>0</v>
      </c>
      <c r="Y167" s="352" t="b">
        <v>0</v>
      </c>
      <c r="Z167" s="352" t="b">
        <v>0</v>
      </c>
      <c r="AA167" s="352" t="b">
        <v>0</v>
      </c>
      <c r="AB167" s="351"/>
      <c r="AC167" s="352" t="b">
        <v>0</v>
      </c>
      <c r="AD167" s="352" t="b">
        <v>0</v>
      </c>
      <c r="AE167" s="352" t="b">
        <v>0</v>
      </c>
      <c r="AF167" s="352" t="b">
        <v>0</v>
      </c>
      <c r="AG167" s="352" t="b">
        <v>1</v>
      </c>
      <c r="AH167" s="351"/>
      <c r="AI167" s="351"/>
      <c r="AJ167" s="351"/>
      <c r="AK167" s="351"/>
      <c r="AL167" s="351"/>
      <c r="AM167" s="351"/>
      <c r="AN167" s="351"/>
      <c r="AO167" s="351"/>
      <c r="AR167" s="79"/>
    </row>
    <row r="168" spans="3:44" x14ac:dyDescent="0.35">
      <c r="C168" s="78"/>
      <c r="D168" s="2"/>
      <c r="F168" t="s">
        <v>940</v>
      </c>
      <c r="G168" t="s">
        <v>149</v>
      </c>
      <c r="J168" s="352">
        <v>1</v>
      </c>
      <c r="K168" s="351"/>
      <c r="L168" s="351"/>
      <c r="M168" s="352">
        <v>2</v>
      </c>
      <c r="N168" s="352">
        <v>2</v>
      </c>
      <c r="O168" s="352">
        <v>2</v>
      </c>
      <c r="P168" s="352">
        <v>2</v>
      </c>
      <c r="Q168" s="351"/>
      <c r="R168" s="351"/>
      <c r="S168" s="352">
        <v>3</v>
      </c>
      <c r="T168" s="352">
        <v>3</v>
      </c>
      <c r="U168" s="352">
        <v>3</v>
      </c>
      <c r="V168" s="352">
        <v>3</v>
      </c>
      <c r="W168" s="351"/>
      <c r="X168" s="352">
        <v>3</v>
      </c>
      <c r="Y168" s="352">
        <v>3</v>
      </c>
      <c r="Z168" s="352">
        <v>3</v>
      </c>
      <c r="AA168" s="352">
        <v>3</v>
      </c>
      <c r="AB168" s="351"/>
      <c r="AC168" s="352">
        <v>4</v>
      </c>
      <c r="AD168" s="352">
        <v>4</v>
      </c>
      <c r="AE168" s="352">
        <v>4</v>
      </c>
      <c r="AF168" s="352">
        <v>4</v>
      </c>
      <c r="AG168" s="352">
        <v>5</v>
      </c>
      <c r="AH168" s="351"/>
      <c r="AI168" s="351"/>
      <c r="AJ168" s="351"/>
      <c r="AK168" s="351"/>
      <c r="AL168" s="351"/>
      <c r="AM168" s="351"/>
      <c r="AN168" s="351"/>
      <c r="AO168" s="351"/>
      <c r="AR168" s="79"/>
    </row>
    <row r="169" spans="3:44" x14ac:dyDescent="0.35">
      <c r="C169" s="78"/>
      <c r="D169" s="2"/>
      <c r="F169" t="s">
        <v>939</v>
      </c>
      <c r="G169" t="s">
        <v>149</v>
      </c>
      <c r="J169" s="352">
        <v>1</v>
      </c>
      <c r="K169" s="351"/>
      <c r="L169" s="351"/>
      <c r="M169" s="352">
        <v>1</v>
      </c>
      <c r="N169" s="352">
        <v>2</v>
      </c>
      <c r="O169" s="352">
        <v>3</v>
      </c>
      <c r="P169" s="352">
        <v>4</v>
      </c>
      <c r="Q169" s="351"/>
      <c r="R169" s="351"/>
      <c r="S169" s="352">
        <v>1</v>
      </c>
      <c r="T169" s="352">
        <v>2</v>
      </c>
      <c r="U169" s="352">
        <v>3</v>
      </c>
      <c r="V169" s="352">
        <v>4</v>
      </c>
      <c r="W169" s="351"/>
      <c r="X169" s="352">
        <v>1</v>
      </c>
      <c r="Y169" s="352">
        <v>2</v>
      </c>
      <c r="Z169" s="352">
        <v>3</v>
      </c>
      <c r="AA169" s="352">
        <v>4</v>
      </c>
      <c r="AB169" s="351"/>
      <c r="AC169" s="352">
        <v>1</v>
      </c>
      <c r="AD169" s="352">
        <v>2</v>
      </c>
      <c r="AE169" s="352">
        <v>3</v>
      </c>
      <c r="AF169" s="352">
        <v>4</v>
      </c>
      <c r="AG169" s="352">
        <v>1</v>
      </c>
      <c r="AH169" s="351"/>
      <c r="AI169" s="351"/>
      <c r="AJ169" s="351"/>
      <c r="AK169" s="351"/>
      <c r="AL169" s="351"/>
      <c r="AM169" s="351"/>
      <c r="AN169" s="351"/>
      <c r="AO169" s="351"/>
      <c r="AR169" s="79"/>
    </row>
    <row r="170" spans="3:44" x14ac:dyDescent="0.35">
      <c r="C170" s="78"/>
      <c r="D170" s="2"/>
      <c r="F170" s="28" t="s">
        <v>1005</v>
      </c>
      <c r="G170" s="28" t="s">
        <v>149</v>
      </c>
      <c r="H170" s="28"/>
      <c r="I170" s="28"/>
      <c r="J170" s="353">
        <v>1</v>
      </c>
      <c r="K170" s="353">
        <v>2</v>
      </c>
      <c r="L170" s="353">
        <v>3</v>
      </c>
      <c r="M170" s="353">
        <v>3</v>
      </c>
      <c r="N170" s="353">
        <v>3</v>
      </c>
      <c r="O170" s="353">
        <v>3</v>
      </c>
      <c r="P170" s="353">
        <v>3</v>
      </c>
      <c r="Q170" s="353">
        <v>4</v>
      </c>
      <c r="R170" s="353">
        <v>5</v>
      </c>
      <c r="S170" s="353">
        <v>5</v>
      </c>
      <c r="T170" s="353">
        <v>5</v>
      </c>
      <c r="U170" s="353">
        <v>5</v>
      </c>
      <c r="V170" s="353">
        <v>5</v>
      </c>
      <c r="W170" s="353">
        <v>6</v>
      </c>
      <c r="X170" s="353">
        <v>6</v>
      </c>
      <c r="Y170" s="353">
        <v>6</v>
      </c>
      <c r="Z170" s="353">
        <v>6</v>
      </c>
      <c r="AA170" s="353">
        <v>6</v>
      </c>
      <c r="AB170" s="353">
        <v>7</v>
      </c>
      <c r="AC170" s="353">
        <v>7</v>
      </c>
      <c r="AD170" s="353">
        <v>7</v>
      </c>
      <c r="AE170" s="353">
        <v>7</v>
      </c>
      <c r="AF170" s="353">
        <v>7</v>
      </c>
      <c r="AG170" s="353">
        <v>8</v>
      </c>
      <c r="AH170" s="353">
        <v>9</v>
      </c>
      <c r="AI170" s="353">
        <v>10</v>
      </c>
      <c r="AJ170" s="353">
        <v>11</v>
      </c>
      <c r="AK170" s="353">
        <v>12</v>
      </c>
      <c r="AL170" s="353">
        <v>13</v>
      </c>
      <c r="AM170" s="353">
        <v>14</v>
      </c>
      <c r="AN170" s="353">
        <v>15</v>
      </c>
      <c r="AO170" s="353">
        <v>16</v>
      </c>
      <c r="AR170" s="79"/>
    </row>
    <row r="171" spans="3:44" x14ac:dyDescent="0.35">
      <c r="C171" s="78"/>
      <c r="D171" s="2"/>
      <c r="AR171" s="79"/>
    </row>
    <row r="172" spans="3:44" x14ac:dyDescent="0.35">
      <c r="C172" s="78"/>
      <c r="D172" s="2"/>
      <c r="E172" t="s">
        <v>1008</v>
      </c>
      <c r="G172" t="s">
        <v>149</v>
      </c>
      <c r="H172" s="321">
        <v>2</v>
      </c>
      <c r="AR172" s="79"/>
    </row>
    <row r="173" spans="3:44" x14ac:dyDescent="0.35">
      <c r="C173" s="78"/>
      <c r="D173" s="2"/>
      <c r="AR173" s="79"/>
    </row>
    <row r="174" spans="3:44" x14ac:dyDescent="0.35">
      <c r="C174" s="78"/>
      <c r="D174" s="2"/>
      <c r="E174" s="27" t="s">
        <v>1001</v>
      </c>
      <c r="AR174" s="79"/>
    </row>
    <row r="175" spans="3:44" x14ac:dyDescent="0.35">
      <c r="C175" s="78"/>
      <c r="D175" s="2"/>
      <c r="E175" s="27"/>
      <c r="F175" s="24" t="s">
        <v>1002</v>
      </c>
      <c r="AR175" s="79"/>
    </row>
    <row r="176" spans="3:44" ht="43.5" x14ac:dyDescent="0.35">
      <c r="C176" s="78"/>
      <c r="D176" s="2"/>
      <c r="E176" s="27"/>
      <c r="F176" s="360" t="s">
        <v>1003</v>
      </c>
      <c r="J176" s="104" t="s">
        <v>908</v>
      </c>
      <c r="K176" s="104" t="s">
        <v>829</v>
      </c>
      <c r="L176" s="104" t="s">
        <v>909</v>
      </c>
      <c r="M176" s="104" t="s">
        <v>910</v>
      </c>
      <c r="N176" s="104" t="s">
        <v>911</v>
      </c>
      <c r="O176" s="104" t="s">
        <v>912</v>
      </c>
      <c r="P176" s="104" t="s">
        <v>913</v>
      </c>
      <c r="Q176" s="104" t="s">
        <v>830</v>
      </c>
      <c r="R176" s="104" t="s">
        <v>914</v>
      </c>
      <c r="S176" s="104" t="s">
        <v>915</v>
      </c>
      <c r="T176" s="104" t="s">
        <v>916</v>
      </c>
      <c r="U176" s="104" t="s">
        <v>917</v>
      </c>
      <c r="V176" s="104" t="s">
        <v>918</v>
      </c>
      <c r="W176" s="104" t="s">
        <v>919</v>
      </c>
      <c r="X176" s="104" t="s">
        <v>920</v>
      </c>
      <c r="Y176" s="104" t="s">
        <v>921</v>
      </c>
      <c r="Z176" s="104" t="s">
        <v>922</v>
      </c>
      <c r="AA176" s="104" t="s">
        <v>923</v>
      </c>
      <c r="AB176" s="104" t="s">
        <v>924</v>
      </c>
      <c r="AC176" s="104" t="s">
        <v>925</v>
      </c>
      <c r="AD176" s="104" t="s">
        <v>926</v>
      </c>
      <c r="AE176" s="104" t="s">
        <v>927</v>
      </c>
      <c r="AF176" s="104" t="s">
        <v>928</v>
      </c>
      <c r="AG176" s="104" t="s">
        <v>839</v>
      </c>
      <c r="AH176" s="104" t="s">
        <v>831</v>
      </c>
      <c r="AI176" s="104" t="s">
        <v>832</v>
      </c>
      <c r="AJ176" s="104" t="s">
        <v>833</v>
      </c>
      <c r="AK176" s="104" t="s">
        <v>842</v>
      </c>
      <c r="AL176" s="104" t="s">
        <v>834</v>
      </c>
      <c r="AM176" s="104" t="s">
        <v>841</v>
      </c>
      <c r="AN176" s="104" t="s">
        <v>835</v>
      </c>
      <c r="AO176" s="104" t="s">
        <v>840</v>
      </c>
      <c r="AR176" s="79"/>
    </row>
    <row r="177" spans="2:44" x14ac:dyDescent="0.35">
      <c r="C177" s="78"/>
      <c r="D177" s="2"/>
      <c r="F177" s="19" t="s">
        <v>993</v>
      </c>
      <c r="G177" s="19" t="s">
        <v>149</v>
      </c>
      <c r="H177" s="19"/>
      <c r="I177" s="19"/>
      <c r="J177" s="310">
        <v>1</v>
      </c>
      <c r="K177" s="55"/>
      <c r="L177" s="55"/>
      <c r="M177" s="310">
        <v>1</v>
      </c>
      <c r="N177" s="310">
        <v>2</v>
      </c>
      <c r="O177" s="310">
        <v>3</v>
      </c>
      <c r="P177" s="310">
        <v>4</v>
      </c>
      <c r="Q177" s="55"/>
      <c r="R177" s="55"/>
      <c r="S177" s="310">
        <v>1</v>
      </c>
      <c r="T177" s="310">
        <v>2</v>
      </c>
      <c r="U177" s="310">
        <v>3</v>
      </c>
      <c r="V177" s="310">
        <v>4</v>
      </c>
      <c r="W177" s="55"/>
      <c r="X177" s="310">
        <v>1</v>
      </c>
      <c r="Y177" s="310">
        <v>2</v>
      </c>
      <c r="Z177" s="310">
        <v>3</v>
      </c>
      <c r="AA177" s="310">
        <v>4</v>
      </c>
      <c r="AB177" s="55"/>
      <c r="AC177" s="310">
        <v>1</v>
      </c>
      <c r="AD177" s="310">
        <v>2</v>
      </c>
      <c r="AE177" s="310">
        <v>3</v>
      </c>
      <c r="AF177" s="310">
        <v>4</v>
      </c>
      <c r="AG177" s="310">
        <v>1</v>
      </c>
      <c r="AH177" s="55"/>
      <c r="AI177" s="55"/>
      <c r="AJ177" s="55"/>
      <c r="AK177" s="55"/>
      <c r="AL177" s="55"/>
      <c r="AM177" s="55"/>
      <c r="AN177" s="55"/>
      <c r="AO177" s="55"/>
      <c r="AR177" s="79"/>
    </row>
    <row r="178" spans="2:44" x14ac:dyDescent="0.35">
      <c r="C178" s="78"/>
      <c r="D178" s="2"/>
      <c r="F178" t="s">
        <v>994</v>
      </c>
      <c r="G178" t="s">
        <v>149</v>
      </c>
      <c r="J178" s="321">
        <v>1</v>
      </c>
      <c r="K178" s="351"/>
      <c r="L178" s="351"/>
      <c r="M178" s="321">
        <v>1</v>
      </c>
      <c r="N178" s="321">
        <v>1</v>
      </c>
      <c r="O178" s="321">
        <v>2</v>
      </c>
      <c r="P178" s="321">
        <v>3</v>
      </c>
      <c r="Q178" s="351"/>
      <c r="R178" s="351"/>
      <c r="S178" s="321">
        <v>1</v>
      </c>
      <c r="T178" s="321">
        <v>1</v>
      </c>
      <c r="U178" s="321">
        <v>2</v>
      </c>
      <c r="V178" s="321">
        <v>3</v>
      </c>
      <c r="W178" s="351"/>
      <c r="X178" s="321">
        <v>1</v>
      </c>
      <c r="Y178" s="321">
        <v>1</v>
      </c>
      <c r="Z178" s="321">
        <v>2</v>
      </c>
      <c r="AA178" s="321">
        <v>3</v>
      </c>
      <c r="AB178" s="351"/>
      <c r="AC178" s="321">
        <v>1</v>
      </c>
      <c r="AD178" s="321">
        <v>1</v>
      </c>
      <c r="AE178" s="321">
        <v>2</v>
      </c>
      <c r="AF178" s="321">
        <v>3</v>
      </c>
      <c r="AG178" s="321">
        <v>1</v>
      </c>
      <c r="AH178" s="351"/>
      <c r="AI178" s="351"/>
      <c r="AJ178" s="351"/>
      <c r="AK178" s="351"/>
      <c r="AL178" s="351"/>
      <c r="AM178" s="351"/>
      <c r="AN178" s="351"/>
      <c r="AO178" s="351"/>
      <c r="AR178" s="79"/>
    </row>
    <row r="179" spans="2:44" x14ac:dyDescent="0.35">
      <c r="C179" s="78"/>
      <c r="D179" s="2"/>
      <c r="F179" t="s">
        <v>995</v>
      </c>
      <c r="G179" t="s">
        <v>149</v>
      </c>
      <c r="J179" s="321">
        <v>1</v>
      </c>
      <c r="K179" s="351"/>
      <c r="L179" s="351"/>
      <c r="M179" s="321">
        <v>1</v>
      </c>
      <c r="N179" s="321">
        <v>2</v>
      </c>
      <c r="O179" s="321">
        <v>2</v>
      </c>
      <c r="P179" s="321">
        <v>3</v>
      </c>
      <c r="Q179" s="351"/>
      <c r="R179" s="351"/>
      <c r="S179" s="321">
        <v>1</v>
      </c>
      <c r="T179" s="321">
        <v>2</v>
      </c>
      <c r="U179" s="321">
        <v>2</v>
      </c>
      <c r="V179" s="321">
        <v>3</v>
      </c>
      <c r="W179" s="351"/>
      <c r="X179" s="321">
        <v>1</v>
      </c>
      <c r="Y179" s="321">
        <v>2</v>
      </c>
      <c r="Z179" s="321">
        <v>2</v>
      </c>
      <c r="AA179" s="321">
        <v>3</v>
      </c>
      <c r="AB179" s="351"/>
      <c r="AC179" s="321">
        <v>1</v>
      </c>
      <c r="AD179" s="321">
        <v>2</v>
      </c>
      <c r="AE179" s="321">
        <v>2</v>
      </c>
      <c r="AF179" s="321">
        <v>3</v>
      </c>
      <c r="AG179" s="321">
        <v>1</v>
      </c>
      <c r="AH179" s="351"/>
      <c r="AI179" s="351"/>
      <c r="AJ179" s="351"/>
      <c r="AK179" s="351"/>
      <c r="AL179" s="351"/>
      <c r="AM179" s="351"/>
      <c r="AN179" s="351"/>
      <c r="AO179" s="351"/>
      <c r="AR179" s="79"/>
    </row>
    <row r="180" spans="2:44" x14ac:dyDescent="0.35">
      <c r="C180" s="78"/>
      <c r="D180" s="2"/>
      <c r="F180" t="s">
        <v>996</v>
      </c>
      <c r="G180" t="s">
        <v>149</v>
      </c>
      <c r="J180" s="321">
        <v>1</v>
      </c>
      <c r="K180" s="351"/>
      <c r="L180" s="351"/>
      <c r="M180" s="321">
        <v>1</v>
      </c>
      <c r="N180" s="321">
        <v>2</v>
      </c>
      <c r="O180" s="321">
        <v>3</v>
      </c>
      <c r="P180" s="321">
        <v>3</v>
      </c>
      <c r="Q180" s="351"/>
      <c r="R180" s="351"/>
      <c r="S180" s="321">
        <v>1</v>
      </c>
      <c r="T180" s="321">
        <v>2</v>
      </c>
      <c r="U180" s="321">
        <v>3</v>
      </c>
      <c r="V180" s="321">
        <v>3</v>
      </c>
      <c r="W180" s="351"/>
      <c r="X180" s="321">
        <v>1</v>
      </c>
      <c r="Y180" s="321">
        <v>2</v>
      </c>
      <c r="Z180" s="321">
        <v>3</v>
      </c>
      <c r="AA180" s="321">
        <v>3</v>
      </c>
      <c r="AB180" s="351"/>
      <c r="AC180" s="321">
        <v>1</v>
      </c>
      <c r="AD180" s="321">
        <v>2</v>
      </c>
      <c r="AE180" s="321">
        <v>3</v>
      </c>
      <c r="AF180" s="321">
        <v>3</v>
      </c>
      <c r="AG180" s="321">
        <v>1</v>
      </c>
      <c r="AH180" s="351"/>
      <c r="AI180" s="351"/>
      <c r="AJ180" s="351"/>
      <c r="AK180" s="351"/>
      <c r="AL180" s="351"/>
      <c r="AM180" s="351"/>
      <c r="AN180" s="351"/>
      <c r="AO180" s="351"/>
      <c r="AR180" s="79"/>
    </row>
    <row r="181" spans="2:44" x14ac:dyDescent="0.35">
      <c r="C181" s="78"/>
      <c r="D181" s="2"/>
      <c r="F181" t="s">
        <v>997</v>
      </c>
      <c r="G181" t="s">
        <v>149</v>
      </c>
      <c r="J181" s="321">
        <v>1</v>
      </c>
      <c r="K181" s="351"/>
      <c r="L181" s="351"/>
      <c r="M181" s="321">
        <v>1</v>
      </c>
      <c r="N181" s="321">
        <v>1</v>
      </c>
      <c r="O181" s="321">
        <v>2</v>
      </c>
      <c r="P181" s="321">
        <v>2</v>
      </c>
      <c r="Q181" s="351"/>
      <c r="R181" s="351"/>
      <c r="S181" s="321">
        <v>1</v>
      </c>
      <c r="T181" s="321">
        <v>1</v>
      </c>
      <c r="U181" s="321">
        <v>2</v>
      </c>
      <c r="V181" s="321">
        <v>2</v>
      </c>
      <c r="W181" s="351"/>
      <c r="X181" s="321">
        <v>1</v>
      </c>
      <c r="Y181" s="321">
        <v>1</v>
      </c>
      <c r="Z181" s="321">
        <v>2</v>
      </c>
      <c r="AA181" s="321">
        <v>2</v>
      </c>
      <c r="AB181" s="351"/>
      <c r="AC181" s="321">
        <v>1</v>
      </c>
      <c r="AD181" s="321">
        <v>1</v>
      </c>
      <c r="AE181" s="321">
        <v>2</v>
      </c>
      <c r="AF181" s="321">
        <v>2</v>
      </c>
      <c r="AG181" s="321">
        <v>1</v>
      </c>
      <c r="AH181" s="351"/>
      <c r="AI181" s="351"/>
      <c r="AJ181" s="351"/>
      <c r="AK181" s="351"/>
      <c r="AL181" s="351"/>
      <c r="AM181" s="351"/>
      <c r="AN181" s="351"/>
      <c r="AO181" s="351"/>
      <c r="AR181" s="79"/>
    </row>
    <row r="182" spans="2:44" x14ac:dyDescent="0.35">
      <c r="C182" s="78"/>
      <c r="D182" s="2"/>
      <c r="F182" t="s">
        <v>998</v>
      </c>
      <c r="G182" t="s">
        <v>149</v>
      </c>
      <c r="J182" s="321">
        <v>1</v>
      </c>
      <c r="K182" s="351"/>
      <c r="L182" s="351"/>
      <c r="M182" s="321">
        <v>1</v>
      </c>
      <c r="N182" s="321">
        <v>1</v>
      </c>
      <c r="O182" s="321">
        <v>1</v>
      </c>
      <c r="P182" s="321">
        <v>2</v>
      </c>
      <c r="Q182" s="351"/>
      <c r="R182" s="351"/>
      <c r="S182" s="321">
        <v>1</v>
      </c>
      <c r="T182" s="321">
        <v>1</v>
      </c>
      <c r="U182" s="321">
        <v>1</v>
      </c>
      <c r="V182" s="321">
        <v>2</v>
      </c>
      <c r="W182" s="351"/>
      <c r="X182" s="321">
        <v>1</v>
      </c>
      <c r="Y182" s="321">
        <v>1</v>
      </c>
      <c r="Z182" s="321">
        <v>1</v>
      </c>
      <c r="AA182" s="321">
        <v>2</v>
      </c>
      <c r="AB182" s="351"/>
      <c r="AC182" s="321">
        <v>1</v>
      </c>
      <c r="AD182" s="321">
        <v>1</v>
      </c>
      <c r="AE182" s="321">
        <v>1</v>
      </c>
      <c r="AF182" s="321">
        <v>2</v>
      </c>
      <c r="AG182" s="321">
        <v>1</v>
      </c>
      <c r="AH182" s="351"/>
      <c r="AI182" s="351"/>
      <c r="AJ182" s="351"/>
      <c r="AK182" s="351"/>
      <c r="AL182" s="351"/>
      <c r="AM182" s="351"/>
      <c r="AN182" s="351"/>
      <c r="AO182" s="351"/>
      <c r="AR182" s="79"/>
    </row>
    <row r="183" spans="2:44" x14ac:dyDescent="0.35">
      <c r="C183" s="78"/>
      <c r="D183" s="2"/>
      <c r="F183" t="s">
        <v>999</v>
      </c>
      <c r="G183" t="s">
        <v>149</v>
      </c>
      <c r="J183" s="321">
        <v>1</v>
      </c>
      <c r="K183" s="351"/>
      <c r="L183" s="351"/>
      <c r="M183" s="321">
        <v>1</v>
      </c>
      <c r="N183" s="321">
        <v>2</v>
      </c>
      <c r="O183" s="321">
        <v>2</v>
      </c>
      <c r="P183" s="321">
        <v>2</v>
      </c>
      <c r="Q183" s="351"/>
      <c r="R183" s="351"/>
      <c r="S183" s="321">
        <v>1</v>
      </c>
      <c r="T183" s="321">
        <v>2</v>
      </c>
      <c r="U183" s="321">
        <v>2</v>
      </c>
      <c r="V183" s="321">
        <v>2</v>
      </c>
      <c r="W183" s="351"/>
      <c r="X183" s="321">
        <v>1</v>
      </c>
      <c r="Y183" s="321">
        <v>2</v>
      </c>
      <c r="Z183" s="321">
        <v>2</v>
      </c>
      <c r="AA183" s="321">
        <v>2</v>
      </c>
      <c r="AB183" s="351"/>
      <c r="AC183" s="321">
        <v>1</v>
      </c>
      <c r="AD183" s="321">
        <v>2</v>
      </c>
      <c r="AE183" s="321">
        <v>2</v>
      </c>
      <c r="AF183" s="321">
        <v>2</v>
      </c>
      <c r="AG183" s="321">
        <v>1</v>
      </c>
      <c r="AH183" s="351"/>
      <c r="AI183" s="351"/>
      <c r="AJ183" s="351"/>
      <c r="AK183" s="351"/>
      <c r="AL183" s="351"/>
      <c r="AM183" s="351"/>
      <c r="AN183" s="351"/>
      <c r="AO183" s="351"/>
      <c r="AR183" s="79"/>
    </row>
    <row r="184" spans="2:44" x14ac:dyDescent="0.35">
      <c r="C184" s="78"/>
      <c r="D184" s="2"/>
      <c r="F184" s="28" t="s">
        <v>1000</v>
      </c>
      <c r="G184" s="28" t="s">
        <v>149</v>
      </c>
      <c r="H184" s="28"/>
      <c r="I184" s="28"/>
      <c r="J184" s="311">
        <v>1</v>
      </c>
      <c r="K184" s="58"/>
      <c r="L184" s="58"/>
      <c r="M184" s="311">
        <v>1</v>
      </c>
      <c r="N184" s="311">
        <v>1</v>
      </c>
      <c r="O184" s="311">
        <v>1</v>
      </c>
      <c r="P184" s="311">
        <v>1</v>
      </c>
      <c r="Q184" s="58"/>
      <c r="R184" s="58"/>
      <c r="S184" s="311">
        <v>1</v>
      </c>
      <c r="T184" s="311">
        <v>1</v>
      </c>
      <c r="U184" s="311">
        <v>1</v>
      </c>
      <c r="V184" s="311">
        <v>1</v>
      </c>
      <c r="W184" s="58"/>
      <c r="X184" s="311">
        <v>1</v>
      </c>
      <c r="Y184" s="311">
        <v>1</v>
      </c>
      <c r="Z184" s="311">
        <v>1</v>
      </c>
      <c r="AA184" s="311">
        <v>1</v>
      </c>
      <c r="AB184" s="58"/>
      <c r="AC184" s="311">
        <v>1</v>
      </c>
      <c r="AD184" s="311">
        <v>1</v>
      </c>
      <c r="AE184" s="311">
        <v>1</v>
      </c>
      <c r="AF184" s="311">
        <v>1</v>
      </c>
      <c r="AG184" s="311">
        <v>1</v>
      </c>
      <c r="AH184" s="58"/>
      <c r="AI184" s="58"/>
      <c r="AJ184" s="58"/>
      <c r="AK184" s="58"/>
      <c r="AL184" s="58"/>
      <c r="AM184" s="58"/>
      <c r="AN184" s="58"/>
      <c r="AO184" s="58"/>
      <c r="AR184" s="79"/>
    </row>
    <row r="185" spans="2:44" x14ac:dyDescent="0.35">
      <c r="C185" s="78"/>
      <c r="D185" s="2"/>
      <c r="E185" s="27"/>
      <c r="AR185" s="79"/>
    </row>
    <row r="186" spans="2:44" x14ac:dyDescent="0.35">
      <c r="B186" s="25" t="s">
        <v>231</v>
      </c>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row>
    <row r="187" spans="2:44" x14ac:dyDescent="0.35">
      <c r="F187" s="3"/>
      <c r="G187" s="3"/>
      <c r="H187" s="3"/>
      <c r="I187" s="3"/>
    </row>
    <row r="188" spans="2:44" x14ac:dyDescent="0.35">
      <c r="E188" t="s">
        <v>232</v>
      </c>
      <c r="G188" s="6" t="s">
        <v>55</v>
      </c>
      <c r="H188" s="20">
        <f t="array" ref="H188">SUM(IF(ISERROR(H15:Y146), 1))</f>
        <v>0</v>
      </c>
      <c r="I188" s="3"/>
    </row>
    <row r="189" spans="2:44" x14ac:dyDescent="0.35">
      <c r="I189" s="3"/>
    </row>
    <row r="190" spans="2:44" x14ac:dyDescent="0.35">
      <c r="E190" s="27" t="s">
        <v>233</v>
      </c>
      <c r="I190" s="3"/>
    </row>
    <row r="191" spans="2:44" x14ac:dyDescent="0.35">
      <c r="F191" s="19" t="s">
        <v>234</v>
      </c>
      <c r="G191" s="63" t="s">
        <v>55</v>
      </c>
      <c r="H191" s="64">
        <f>SUM(J191:Y191)</f>
        <v>0</v>
      </c>
      <c r="I191" s="59"/>
      <c r="J191" s="64">
        <f t="shared" ref="J191:K191" si="0">IF( OR( AND(J105 = TRUE, NOT(ISBLANK(J106))), AND(J105 = FALSE, J106 = 0)), 0, 1)</f>
        <v>0</v>
      </c>
      <c r="K191" s="64">
        <f t="shared" si="0"/>
        <v>0</v>
      </c>
      <c r="L191" s="64">
        <f t="shared" ref="L191:M191" si="1">IF( OR( AND(L105 = TRUE, NOT(ISBLANK(L106))), AND(L105 = FALSE, L106 = 0)), 0, 1)</f>
        <v>0</v>
      </c>
      <c r="M191" s="64">
        <f t="shared" si="1"/>
        <v>0</v>
      </c>
      <c r="N191" s="64">
        <f t="shared" ref="N191:P191" si="2">IF( OR( AND(N105 = TRUE, NOT(ISBLANK(N106))), AND(N105 = FALSE, N106 = 0)), 0, 1)</f>
        <v>0</v>
      </c>
      <c r="O191" s="64">
        <f t="shared" si="2"/>
        <v>0</v>
      </c>
      <c r="P191" s="64">
        <f t="shared" si="2"/>
        <v>0</v>
      </c>
      <c r="Q191" s="64">
        <f t="shared" ref="Q191:S191" si="3">IF( OR( AND(Q105 = TRUE, NOT(ISBLANK(Q106))), AND(Q105 = FALSE, Q106 = 0)), 0, 1)</f>
        <v>0</v>
      </c>
      <c r="R191" s="64">
        <f t="shared" si="3"/>
        <v>0</v>
      </c>
      <c r="S191" s="64">
        <f t="shared" si="3"/>
        <v>0</v>
      </c>
      <c r="T191" s="64">
        <f t="shared" ref="T191:U191" si="4">IF( OR( AND(T105 = TRUE, NOT(ISBLANK(T106))), AND(T105 = FALSE, T106 = 0)), 0, 1)</f>
        <v>0</v>
      </c>
      <c r="U191" s="64">
        <f t="shared" si="4"/>
        <v>0</v>
      </c>
      <c r="V191" s="64">
        <f t="shared" ref="V191:W191" si="5">IF( OR( AND(V105 = TRUE, NOT(ISBLANK(V106))), AND(V105 = FALSE, V106 = 0)), 0, 1)</f>
        <v>0</v>
      </c>
      <c r="W191" s="64">
        <f t="shared" si="5"/>
        <v>0</v>
      </c>
      <c r="X191" s="64">
        <f t="shared" ref="X191:Y191" si="6">IF( OR( AND(X105 = TRUE, NOT(ISBLANK(X106))), AND(X105 = FALSE, X106 = 0)), 0, 1)</f>
        <v>0</v>
      </c>
      <c r="Y191" s="64">
        <f t="shared" si="6"/>
        <v>0</v>
      </c>
    </row>
    <row r="192" spans="2:44" x14ac:dyDescent="0.35">
      <c r="F192" t="s">
        <v>235</v>
      </c>
      <c r="G192" s="6" t="s">
        <v>55</v>
      </c>
      <c r="H192" s="20">
        <f>SUM(J192:Y192)</f>
        <v>0</v>
      </c>
      <c r="I192" s="3"/>
      <c r="J192" s="20">
        <f t="shared" ref="J192:K192" si="7">IF( OR( AND(J109 = TRUE, NOT(ISBLANK(J110))), AND(J109 = FALSE, J110 = 0)), 0, 1)</f>
        <v>0</v>
      </c>
      <c r="K192" s="20">
        <f t="shared" si="7"/>
        <v>0</v>
      </c>
      <c r="L192" s="20">
        <f t="shared" ref="L192:M192" si="8">IF( OR( AND(L109 = TRUE, NOT(ISBLANK(L110))), AND(L109 = FALSE, L110 = 0)), 0, 1)</f>
        <v>0</v>
      </c>
      <c r="M192" s="20">
        <f t="shared" si="8"/>
        <v>0</v>
      </c>
      <c r="N192" s="20">
        <f t="shared" ref="N192:P192" si="9">IF( OR( AND(N109 = TRUE, NOT(ISBLANK(N110))), AND(N109 = FALSE, N110 = 0)), 0, 1)</f>
        <v>0</v>
      </c>
      <c r="O192" s="20">
        <f t="shared" si="9"/>
        <v>0</v>
      </c>
      <c r="P192" s="20">
        <f t="shared" si="9"/>
        <v>0</v>
      </c>
      <c r="Q192" s="20">
        <f t="shared" ref="Q192:S192" si="10">IF( OR( AND(Q109 = TRUE, NOT(ISBLANK(Q110))), AND(Q109 = FALSE, Q110 = 0)), 0, 1)</f>
        <v>0</v>
      </c>
      <c r="R192" s="20">
        <f t="shared" si="10"/>
        <v>0</v>
      </c>
      <c r="S192" s="20">
        <f t="shared" si="10"/>
        <v>0</v>
      </c>
      <c r="T192" s="20">
        <f t="shared" ref="T192:U192" si="11">IF( OR( AND(T109 = TRUE, NOT(ISBLANK(T110))), AND(T109 = FALSE, T110 = 0)), 0, 1)</f>
        <v>0</v>
      </c>
      <c r="U192" s="20">
        <f t="shared" si="11"/>
        <v>0</v>
      </c>
      <c r="V192" s="20">
        <f t="shared" ref="V192:W192" si="12">IF( OR( AND(V109 = TRUE, NOT(ISBLANK(V110))), AND(V109 = FALSE, V110 = 0)), 0, 1)</f>
        <v>0</v>
      </c>
      <c r="W192" s="20">
        <f t="shared" si="12"/>
        <v>0</v>
      </c>
      <c r="X192" s="20">
        <f t="shared" ref="X192:Y192" si="13">IF( OR( AND(X109 = TRUE, NOT(ISBLANK(X110))), AND(X109 = FALSE, X110 = 0)), 0, 1)</f>
        <v>0</v>
      </c>
      <c r="Y192" s="20">
        <f t="shared" si="13"/>
        <v>0</v>
      </c>
    </row>
    <row r="193" spans="2:43" x14ac:dyDescent="0.35">
      <c r="F193" t="s">
        <v>236</v>
      </c>
      <c r="G193" s="6" t="s">
        <v>55</v>
      </c>
      <c r="H193" s="20">
        <f>SUM(J193:Y193)</f>
        <v>0</v>
      </c>
      <c r="I193" s="3"/>
      <c r="J193" s="20">
        <f t="shared" ref="J193:K193" si="14">IF( OR( AND(J113 = TRUE, NOT(ISBLANK(J114))), AND(J113 = FALSE, J114 = 0)), 0, 1)</f>
        <v>0</v>
      </c>
      <c r="K193" s="20">
        <f t="shared" si="14"/>
        <v>0</v>
      </c>
      <c r="L193" s="20">
        <f t="shared" ref="L193:M193" si="15">IF( OR( AND(L113 = TRUE, NOT(ISBLANK(L114))), AND(L113 = FALSE, L114 = 0)), 0, 1)</f>
        <v>0</v>
      </c>
      <c r="M193" s="20">
        <f t="shared" si="15"/>
        <v>0</v>
      </c>
      <c r="N193" s="20">
        <f t="shared" ref="N193:P193" si="16">IF( OR( AND(N113 = TRUE, NOT(ISBLANK(N114))), AND(N113 = FALSE, N114 = 0)), 0, 1)</f>
        <v>0</v>
      </c>
      <c r="O193" s="20">
        <f t="shared" si="16"/>
        <v>0</v>
      </c>
      <c r="P193" s="20">
        <f t="shared" si="16"/>
        <v>0</v>
      </c>
      <c r="Q193" s="20">
        <f t="shared" ref="Q193:S193" si="17">IF( OR( AND(Q113 = TRUE, NOT(ISBLANK(Q114))), AND(Q113 = FALSE, Q114 = 0)), 0, 1)</f>
        <v>0</v>
      </c>
      <c r="R193" s="20">
        <f t="shared" si="17"/>
        <v>0</v>
      </c>
      <c r="S193" s="20">
        <f t="shared" si="17"/>
        <v>0</v>
      </c>
      <c r="T193" s="20">
        <f t="shared" ref="T193:U193" si="18">IF( OR( AND(T113 = TRUE, NOT(ISBLANK(T114))), AND(T113 = FALSE, T114 = 0)), 0, 1)</f>
        <v>0</v>
      </c>
      <c r="U193" s="20">
        <f t="shared" si="18"/>
        <v>0</v>
      </c>
      <c r="V193" s="20">
        <f t="shared" ref="V193:W193" si="19">IF( OR( AND(V113 = TRUE, NOT(ISBLANK(V114))), AND(V113 = FALSE, V114 = 0)), 0, 1)</f>
        <v>0</v>
      </c>
      <c r="W193" s="20">
        <f t="shared" si="19"/>
        <v>0</v>
      </c>
      <c r="X193" s="20">
        <f t="shared" ref="X193:Y193" si="20">IF( OR( AND(X113 = TRUE, NOT(ISBLANK(X114))), AND(X113 = FALSE, X114 = 0)), 0, 1)</f>
        <v>0</v>
      </c>
      <c r="Y193" s="20">
        <f t="shared" si="20"/>
        <v>0</v>
      </c>
    </row>
    <row r="194" spans="2:43" x14ac:dyDescent="0.35">
      <c r="F194" t="s">
        <v>237</v>
      </c>
      <c r="G194" s="6" t="s">
        <v>55</v>
      </c>
      <c r="H194" s="20">
        <f>SUM(J194:Y194)</f>
        <v>0</v>
      </c>
      <c r="I194" s="3"/>
      <c r="J194" s="20">
        <f t="shared" ref="J194:K194" si="21">IF( OR( AND(J117 = TRUE, NOT(ISBLANK(J118))), AND(J117 = FALSE, J118 = 0)), 0, 1)</f>
        <v>0</v>
      </c>
      <c r="K194" s="20">
        <f t="shared" si="21"/>
        <v>0</v>
      </c>
      <c r="L194" s="20">
        <f t="shared" ref="L194:M194" si="22">IF( OR( AND(L117 = TRUE, NOT(ISBLANK(L118))), AND(L117 = FALSE, L118 = 0)), 0, 1)</f>
        <v>0</v>
      </c>
      <c r="M194" s="20">
        <f t="shared" si="22"/>
        <v>0</v>
      </c>
      <c r="N194" s="20">
        <f t="shared" ref="N194:P194" si="23">IF( OR( AND(N117 = TRUE, NOT(ISBLANK(N118))), AND(N117 = FALSE, N118 = 0)), 0, 1)</f>
        <v>0</v>
      </c>
      <c r="O194" s="20">
        <f t="shared" si="23"/>
        <v>0</v>
      </c>
      <c r="P194" s="20">
        <f t="shared" si="23"/>
        <v>0</v>
      </c>
      <c r="Q194" s="20">
        <f t="shared" ref="Q194:S194" si="24">IF( OR( AND(Q117 = TRUE, NOT(ISBLANK(Q118))), AND(Q117 = FALSE, Q118 = 0)), 0, 1)</f>
        <v>0</v>
      </c>
      <c r="R194" s="20">
        <f t="shared" si="24"/>
        <v>0</v>
      </c>
      <c r="S194" s="20">
        <f t="shared" si="24"/>
        <v>0</v>
      </c>
      <c r="T194" s="20">
        <f t="shared" ref="T194:U194" si="25">IF( OR( AND(T117 = TRUE, NOT(ISBLANK(T118))), AND(T117 = FALSE, T118 = 0)), 0, 1)</f>
        <v>0</v>
      </c>
      <c r="U194" s="20">
        <f t="shared" si="25"/>
        <v>0</v>
      </c>
      <c r="V194" s="20">
        <f t="shared" ref="V194:W194" si="26">IF( OR( AND(V117 = TRUE, NOT(ISBLANK(V118))), AND(V117 = FALSE, V118 = 0)), 0, 1)</f>
        <v>0</v>
      </c>
      <c r="W194" s="20">
        <f t="shared" si="26"/>
        <v>0</v>
      </c>
      <c r="X194" s="20">
        <f t="shared" ref="X194:Y194" si="27">IF( OR( AND(X117 = TRUE, NOT(ISBLANK(X118))), AND(X117 = FALSE, X118 = 0)), 0, 1)</f>
        <v>0</v>
      </c>
      <c r="Y194" s="20">
        <f t="shared" si="27"/>
        <v>0</v>
      </c>
    </row>
    <row r="195" spans="2:43" x14ac:dyDescent="0.35">
      <c r="F195" s="28" t="s">
        <v>238</v>
      </c>
      <c r="G195" s="40" t="s">
        <v>55</v>
      </c>
      <c r="H195" s="65">
        <f>SUM(J195:Y195)</f>
        <v>0</v>
      </c>
      <c r="I195" s="66"/>
      <c r="J195" s="65">
        <f t="shared" ref="J195:K195" si="28">IF( OR( AND(J121 = TRUE, NOT(ISBLANK(J122))), AND(J121 = FALSE, J122 = 0)), 0, 1)</f>
        <v>0</v>
      </c>
      <c r="K195" s="65">
        <f t="shared" si="28"/>
        <v>0</v>
      </c>
      <c r="L195" s="65">
        <f t="shared" ref="L195:M195" si="29">IF( OR( AND(L121 = TRUE, NOT(ISBLANK(L122))), AND(L121 = FALSE, L122 = 0)), 0, 1)</f>
        <v>0</v>
      </c>
      <c r="M195" s="65">
        <f t="shared" si="29"/>
        <v>0</v>
      </c>
      <c r="N195" s="65">
        <f t="shared" ref="N195:P195" si="30">IF( OR( AND(N121 = TRUE, NOT(ISBLANK(N122))), AND(N121 = FALSE, N122 = 0)), 0, 1)</f>
        <v>0</v>
      </c>
      <c r="O195" s="65">
        <f t="shared" si="30"/>
        <v>0</v>
      </c>
      <c r="P195" s="65">
        <f t="shared" si="30"/>
        <v>0</v>
      </c>
      <c r="Q195" s="65">
        <f t="shared" ref="Q195:S195" si="31">IF( OR( AND(Q121 = TRUE, NOT(ISBLANK(Q122))), AND(Q121 = FALSE, Q122 = 0)), 0, 1)</f>
        <v>0</v>
      </c>
      <c r="R195" s="65">
        <f t="shared" si="31"/>
        <v>0</v>
      </c>
      <c r="S195" s="65">
        <f t="shared" si="31"/>
        <v>0</v>
      </c>
      <c r="T195" s="65">
        <f t="shared" ref="T195:U195" si="32">IF( OR( AND(T121 = TRUE, NOT(ISBLANK(T122))), AND(T121 = FALSE, T122 = 0)), 0, 1)</f>
        <v>0</v>
      </c>
      <c r="U195" s="65">
        <f t="shared" si="32"/>
        <v>0</v>
      </c>
      <c r="V195" s="65">
        <f t="shared" ref="V195:W195" si="33">IF( OR( AND(V121 = TRUE, NOT(ISBLANK(V122))), AND(V121 = FALSE, V122 = 0)), 0, 1)</f>
        <v>0</v>
      </c>
      <c r="W195" s="65">
        <f t="shared" si="33"/>
        <v>0</v>
      </c>
      <c r="X195" s="65">
        <f t="shared" ref="X195:Y195" si="34">IF( OR( AND(X121 = TRUE, NOT(ISBLANK(X122))), AND(X121 = FALSE, X122 = 0)), 0, 1)</f>
        <v>0</v>
      </c>
      <c r="Y195" s="65">
        <f t="shared" si="34"/>
        <v>0</v>
      </c>
    </row>
    <row r="196" spans="2:43" x14ac:dyDescent="0.35">
      <c r="F196" s="3"/>
      <c r="G196" s="3"/>
      <c r="H196" s="3"/>
      <c r="I196" s="3"/>
    </row>
    <row r="197" spans="2:43" x14ac:dyDescent="0.35">
      <c r="E197" t="s">
        <v>239</v>
      </c>
      <c r="G197" s="6" t="s">
        <v>55</v>
      </c>
      <c r="H197" s="93">
        <f>H188 + SUM(H191:H195)</f>
        <v>0</v>
      </c>
      <c r="I197" s="3"/>
    </row>
    <row r="198" spans="2:43" x14ac:dyDescent="0.35">
      <c r="I198" s="3"/>
    </row>
    <row r="199" spans="2:43" x14ac:dyDescent="0.35">
      <c r="B199" s="25" t="s">
        <v>106</v>
      </c>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row>
  </sheetData>
  <sheetProtection sheet="1" objects="1" formatCells="0" formatColumns="0" formatRows="0" sort="0" autoFilter="0"/>
  <conditionalFormatting sqref="H188">
    <cfRule type="cellIs" dxfId="226" priority="31" operator="greaterThan">
      <formula>0</formula>
    </cfRule>
  </conditionalFormatting>
  <conditionalFormatting sqref="H191:H195">
    <cfRule type="cellIs" dxfId="225" priority="29" operator="greaterThan">
      <formula>0</formula>
    </cfRule>
  </conditionalFormatting>
  <conditionalFormatting sqref="H197">
    <cfRule type="cellIs" dxfId="224" priority="26" operator="greaterThan">
      <formula>0</formula>
    </cfRule>
  </conditionalFormatting>
  <conditionalFormatting sqref="A4:I4 AC4:XFD4">
    <cfRule type="expression" dxfId="223" priority="25">
      <formula>LEFT($A$4,1) &lt;&gt; "0"</formula>
    </cfRule>
  </conditionalFormatting>
  <conditionalFormatting sqref="N191:P195">
    <cfRule type="cellIs" dxfId="222" priority="23" operator="greaterThan">
      <formula>0</formula>
    </cfRule>
  </conditionalFormatting>
  <conditionalFormatting sqref="N4:P4">
    <cfRule type="expression" dxfId="221" priority="22">
      <formula>LEFT($A$4,1) &lt;&gt; "0"</formula>
    </cfRule>
  </conditionalFormatting>
  <conditionalFormatting sqref="L191:M195">
    <cfRule type="cellIs" dxfId="220" priority="20" operator="greaterThan">
      <formula>0</formula>
    </cfRule>
  </conditionalFormatting>
  <conditionalFormatting sqref="L4:M4">
    <cfRule type="expression" dxfId="219" priority="19">
      <formula>LEFT($A$4,1) &lt;&gt; "0"</formula>
    </cfRule>
  </conditionalFormatting>
  <conditionalFormatting sqref="J191:K195">
    <cfRule type="cellIs" dxfId="218" priority="17" operator="greaterThan">
      <formula>0</formula>
    </cfRule>
  </conditionalFormatting>
  <conditionalFormatting sqref="J4:K4">
    <cfRule type="expression" dxfId="217" priority="16">
      <formula>LEFT($A$4,1) &lt;&gt; "0"</formula>
    </cfRule>
  </conditionalFormatting>
  <conditionalFormatting sqref="Q191:Q195">
    <cfRule type="cellIs" dxfId="216" priority="14" operator="greaterThan">
      <formula>0</formula>
    </cfRule>
  </conditionalFormatting>
  <conditionalFormatting sqref="Q4">
    <cfRule type="expression" dxfId="215" priority="13">
      <formula>LEFT($A$4,1) &lt;&gt; "0"</formula>
    </cfRule>
  </conditionalFormatting>
  <conditionalFormatting sqref="R191:S195">
    <cfRule type="cellIs" dxfId="214" priority="11" operator="greaterThan">
      <formula>0</formula>
    </cfRule>
  </conditionalFormatting>
  <conditionalFormatting sqref="R4:S4">
    <cfRule type="expression" dxfId="213" priority="10">
      <formula>LEFT($A$4,1) &lt;&gt; "0"</formula>
    </cfRule>
  </conditionalFormatting>
  <conditionalFormatting sqref="T191:U195">
    <cfRule type="cellIs" dxfId="212" priority="8" operator="greaterThan">
      <formula>0</formula>
    </cfRule>
  </conditionalFormatting>
  <conditionalFormatting sqref="T4:U4">
    <cfRule type="expression" dxfId="211" priority="7">
      <formula>LEFT($A$4,1) &lt;&gt; "0"</formula>
    </cfRule>
  </conditionalFormatting>
  <conditionalFormatting sqref="V191:W195">
    <cfRule type="cellIs" dxfId="210" priority="5" operator="greaterThan">
      <formula>0</formula>
    </cfRule>
  </conditionalFormatting>
  <conditionalFormatting sqref="V4:W4">
    <cfRule type="expression" dxfId="209" priority="4">
      <formula>LEFT($A$4,1) &lt;&gt; "0"</formula>
    </cfRule>
  </conditionalFormatting>
  <conditionalFormatting sqref="X191:Y195">
    <cfRule type="cellIs" dxfId="208" priority="2" operator="greaterThan">
      <formula>0</formula>
    </cfRule>
  </conditionalFormatting>
  <conditionalFormatting sqref="X4:Y4">
    <cfRule type="expression" dxfId="207" priority="1">
      <formula>LEFT($A$4,1) &lt;&gt; "0"</formula>
    </cfRule>
  </conditionalFormatting>
  <dataValidations count="10">
    <dataValidation type="whole" allowBlank="1" showInputMessage="1" showErrorMessage="1" sqref="H25:H31" xr:uid="{00000000-0002-0000-0500-000000000000}">
      <formula1>0</formula1>
      <formula2>10</formula2>
    </dataValidation>
    <dataValidation type="decimal" allowBlank="1" showInputMessage="1" showErrorMessage="1" sqref="H39 K145 Q149:Y149 J122:Y122 J118:Y118 J114:Y114 J110:Y110 J106:Y106 J88:Y97 M145:Y145" xr:uid="{00000000-0002-0000-0500-000003000000}">
      <formula1>0</formula1>
      <formula2>1</formula2>
    </dataValidation>
    <dataValidation type="whole" allowBlank="1" showInputMessage="1" showErrorMessage="1" sqref="L145 J145 J149:P149" xr:uid="{00000000-0002-0000-0500-000005000000}">
      <formula1>0</formula1>
      <formula2>33</formula2>
    </dataValidation>
    <dataValidation type="decimal" allowBlank="1" showInputMessage="1" showErrorMessage="1" sqref="H35" xr:uid="{00000000-0002-0000-0500-000006000000}">
      <formula1>0</formula1>
      <formula2>999999</formula2>
    </dataValidation>
    <dataValidation type="decimal" allowBlank="1" showInputMessage="1" showErrorMessage="1" sqref="H37" xr:uid="{00000000-0002-0000-0500-000007000000}">
      <formula1>0.001</formula1>
      <formula2>1</formula2>
    </dataValidation>
    <dataValidation type="decimal" allowBlank="1" showInputMessage="1" showErrorMessage="1" sqref="H41" xr:uid="{00000000-0002-0000-0500-000008000000}">
      <formula1>0.001</formula1>
      <formula2>999999.999</formula2>
    </dataValidation>
    <dataValidation type="whole" allowBlank="1" showInputMessage="1" showErrorMessage="1" sqref="H15:H18" xr:uid="{00000000-0002-0000-0500-000009000000}">
      <formula1>0</formula1>
      <formula2>9999</formula2>
    </dataValidation>
    <dataValidation type="whole" allowBlank="1" showInputMessage="1" showErrorMessage="1" sqref="J46:Y49 J53:Y56" xr:uid="{00000000-0002-0000-0500-000001000000}">
      <formula1>0</formula1>
      <formula2>1</formula2>
    </dataValidation>
    <dataValidation type="whole" allowBlank="1" showInputMessage="1" showErrorMessage="1" sqref="J60:Y69 J73:Y82" xr:uid="{00000000-0002-0000-0500-000002000000}">
      <formula1>-1</formula1>
      <formula2>1</formula2>
    </dataValidation>
    <dataValidation type="list" allowBlank="1" showInputMessage="1" showErrorMessage="1" sqref="J127:Y127 J121:Y121 J117:Y117 J113:Y113 J109:Y109 J105:Y105 J131:Y131" xr:uid="{00000000-0002-0000-0500-000004000000}">
      <formula1>"TRUE, FALSE"</formula1>
    </dataValidation>
  </dataValidations>
  <hyperlinks>
    <hyperlink ref="B5:F5" location="'Model map'!A1" display="Click here to return to model map"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8">
    <tabColor theme="5" tint="0.59999389629810485"/>
    <pageSetUpPr fitToPage="1"/>
  </sheetPr>
  <dimension ref="A1:LA23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41" width="17" customWidth="1"/>
    <col min="42" max="42" width="2.453125" customWidth="1"/>
    <col min="43" max="43" width="50.54296875" customWidth="1"/>
    <col min="44" max="44" width="2.453125" customWidth="1"/>
    <col min="45" max="313" width="20.54296875" hidden="1" customWidth="1"/>
    <col min="314" max="16384" width="9.453125" hidden="1"/>
  </cols>
  <sheetData>
    <row r="1" spans="1:43" s="1" customFormat="1" x14ac:dyDescent="0.35">
      <c r="A1" s="1" t="str">
        <f ca="1">MID(CELL("filename",A1),FIND("]",CELL("filename",A1))+1,255)</f>
        <v>Inputs by customer type</v>
      </c>
    </row>
    <row r="2" spans="1:43" s="1" customFormat="1" x14ac:dyDescent="0.35">
      <c r="A2" s="1" t="str">
        <f>Cover!D21&amp;" - "&amp;Cover!D23</f>
        <v>Southern Electric Power Distribution - Final</v>
      </c>
    </row>
    <row r="3" spans="1:43" s="5" customFormat="1" x14ac:dyDescent="0.35">
      <c r="A3" s="5" t="str">
        <f>Cover!D2&amp;" - "&amp;Cover!D8&amp;" v"&amp;Cover!D10&amp;" - "&amp;Cover!D19</f>
        <v>CDCM charging model - Release for charge setting v9 - 2024/25</v>
      </c>
    </row>
    <row r="4" spans="1:43" x14ac:dyDescent="0.35">
      <c r="A4" s="11" t="str">
        <f>H236 &amp; IF(H236 = 1, " issue", " issues") &amp;" identified in checks on this sheet"</f>
        <v>0 issues identified in checks on this sheet</v>
      </c>
      <c r="B4" s="12"/>
      <c r="C4" s="12"/>
      <c r="D4" s="12"/>
      <c r="E4" s="12"/>
      <c r="F4" s="12"/>
      <c r="G4" s="12"/>
      <c r="H4" s="13"/>
      <c r="I4" s="13"/>
    </row>
    <row r="5" spans="1:43" ht="43.5" x14ac:dyDescent="0.35">
      <c r="B5" s="49" t="s">
        <v>142</v>
      </c>
      <c r="C5" s="50"/>
      <c r="D5" s="50"/>
      <c r="E5" s="50"/>
      <c r="F5" s="50"/>
      <c r="G5" s="287" t="s">
        <v>143</v>
      </c>
      <c r="H5" s="288" t="s">
        <v>144</v>
      </c>
      <c r="I5" s="13"/>
      <c r="J5" s="288" t="s">
        <v>827</v>
      </c>
      <c r="K5" s="288" t="s">
        <v>829</v>
      </c>
      <c r="L5" s="288" t="s">
        <v>828</v>
      </c>
      <c r="M5" s="288" t="s">
        <v>830</v>
      </c>
      <c r="N5" s="288" t="s">
        <v>836</v>
      </c>
      <c r="O5" s="288" t="s">
        <v>837</v>
      </c>
      <c r="P5" s="288" t="s">
        <v>838</v>
      </c>
      <c r="Q5" s="288" t="s">
        <v>839</v>
      </c>
      <c r="R5" s="288" t="s">
        <v>831</v>
      </c>
      <c r="S5" s="288" t="s">
        <v>832</v>
      </c>
      <c r="T5" s="288" t="s">
        <v>833</v>
      </c>
      <c r="U5" s="288" t="s">
        <v>842</v>
      </c>
      <c r="V5" s="288" t="s">
        <v>834</v>
      </c>
      <c r="W5" s="288" t="s">
        <v>841</v>
      </c>
      <c r="X5" s="288" t="s">
        <v>835</v>
      </c>
      <c r="Y5" s="288" t="s">
        <v>840</v>
      </c>
      <c r="AQ5" s="51" t="s">
        <v>145</v>
      </c>
    </row>
    <row r="7" spans="1:43" x14ac:dyDescent="0.3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35">
      <c r="C9" s="24" t="s">
        <v>240</v>
      </c>
    </row>
    <row r="11" spans="1:43" x14ac:dyDescent="0.35">
      <c r="B11" s="25" t="s">
        <v>56</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35">
      <c r="D12" s="23"/>
    </row>
    <row r="13" spans="1:43" x14ac:dyDescent="0.35">
      <c r="C13" s="26" t="str">
        <f ca="1">INDEX('Version control'!$H$38:$H$61,MATCH($A$1,'Version control'!$F$38:$F$61,0),1)&amp;"-A: Load characteristics"</f>
        <v>Input 102-A: Load characteristics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35">
      <c r="E15" s="23" t="s">
        <v>241</v>
      </c>
      <c r="G15" s="12" t="s">
        <v>167</v>
      </c>
      <c r="I15" t="s">
        <v>154</v>
      </c>
      <c r="J15" s="241">
        <v>0.43647581417465237</v>
      </c>
      <c r="K15" s="241">
        <v>7.6307183224827949E-2</v>
      </c>
      <c r="L15" s="241">
        <v>0.42111901595678969</v>
      </c>
      <c r="M15" s="241">
        <v>0.19113264434928934</v>
      </c>
      <c r="N15" s="241">
        <v>0.56341638897209079</v>
      </c>
      <c r="O15" s="241">
        <v>0.70966488981913878</v>
      </c>
      <c r="P15" s="241">
        <v>0.69905734888928583</v>
      </c>
      <c r="Q15" s="241">
        <v>0.46565619046428203</v>
      </c>
      <c r="R15" s="60"/>
      <c r="S15" s="60"/>
      <c r="T15" s="60"/>
      <c r="U15" s="60"/>
      <c r="V15" s="60"/>
      <c r="W15" s="60"/>
      <c r="X15" s="60"/>
      <c r="Y15" s="60"/>
      <c r="AQ15" t="s">
        <v>242</v>
      </c>
    </row>
    <row r="16" spans="1:43" x14ac:dyDescent="0.35">
      <c r="E16" s="23" t="s">
        <v>243</v>
      </c>
      <c r="G16" s="12" t="s">
        <v>167</v>
      </c>
      <c r="I16" t="s">
        <v>154</v>
      </c>
      <c r="J16" s="241">
        <v>0.90156780743005827</v>
      </c>
      <c r="K16" s="60"/>
      <c r="L16" s="241">
        <v>0.61580520164321884</v>
      </c>
      <c r="M16" s="60"/>
      <c r="N16" s="241">
        <v>0.75347189146639615</v>
      </c>
      <c r="O16" s="241">
        <v>0.7692077455166958</v>
      </c>
      <c r="P16" s="241">
        <v>0.77333774705813152</v>
      </c>
      <c r="Q16" s="241">
        <v>0.89382495322850986</v>
      </c>
      <c r="R16" s="60"/>
      <c r="S16" s="60"/>
      <c r="T16" s="60"/>
      <c r="U16" s="60"/>
      <c r="V16" s="60"/>
      <c r="W16" s="60"/>
      <c r="X16" s="60"/>
      <c r="Y16" s="60"/>
      <c r="AQ16" t="s">
        <v>244</v>
      </c>
    </row>
    <row r="17" spans="3:43" x14ac:dyDescent="0.35">
      <c r="G17" s="12"/>
    </row>
    <row r="18" spans="3:43" x14ac:dyDescent="0.35">
      <c r="C18" s="26" t="str">
        <f ca="1">INDEX('Version control'!$H$38:$H$61,MATCH($A$1,'Version control'!$F$38:$F$61,0),1)&amp;"-B: Volume forecasts for the charging year"</f>
        <v>Input 102-B: Volume forecasts for the charging year</v>
      </c>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row>
    <row r="19" spans="3:43" x14ac:dyDescent="0.35">
      <c r="G19" s="12"/>
    </row>
    <row r="20" spans="3:43" x14ac:dyDescent="0.35">
      <c r="D20" s="24" t="s">
        <v>956</v>
      </c>
      <c r="G20" s="12"/>
      <c r="I20" t="s">
        <v>154</v>
      </c>
      <c r="AQ20" t="s">
        <v>246</v>
      </c>
    </row>
    <row r="21" spans="3:43" x14ac:dyDescent="0.35">
      <c r="G21" s="12"/>
    </row>
    <row r="22" spans="3:43" x14ac:dyDescent="0.35">
      <c r="E22" s="27" t="s">
        <v>904</v>
      </c>
      <c r="G22" s="12"/>
    </row>
    <row r="23" spans="3:43" x14ac:dyDescent="0.35">
      <c r="E23" s="27"/>
      <c r="F23" s="68" t="s">
        <v>247</v>
      </c>
      <c r="G23" s="68" t="s">
        <v>207</v>
      </c>
      <c r="H23" s="19"/>
      <c r="I23" s="19"/>
      <c r="J23" s="73"/>
      <c r="K23" s="242">
        <v>327.1864201957822</v>
      </c>
      <c r="L23" s="242">
        <v>21.322867534041706</v>
      </c>
      <c r="M23" s="242">
        <v>600.6058735440879</v>
      </c>
      <c r="N23" s="242">
        <v>78.59078647039631</v>
      </c>
      <c r="O23" s="242">
        <v>0</v>
      </c>
      <c r="P23" s="242">
        <v>376.43364027248634</v>
      </c>
      <c r="Q23" s="73"/>
      <c r="R23" s="242">
        <v>923.34399999999982</v>
      </c>
      <c r="S23" s="242">
        <v>19.360999999999997</v>
      </c>
      <c r="T23" s="242">
        <v>3318.3707999999997</v>
      </c>
      <c r="U23" s="242">
        <v>0</v>
      </c>
      <c r="V23" s="242">
        <v>0</v>
      </c>
      <c r="W23" s="242">
        <v>0</v>
      </c>
      <c r="X23" s="242">
        <v>83699.301999999996</v>
      </c>
      <c r="Y23" s="242">
        <v>0</v>
      </c>
    </row>
    <row r="24" spans="3:43" x14ac:dyDescent="0.35">
      <c r="E24" s="27"/>
      <c r="F24" s="62" t="s">
        <v>248</v>
      </c>
      <c r="G24" s="62" t="s">
        <v>207</v>
      </c>
      <c r="J24" s="69"/>
      <c r="K24" s="243">
        <v>37209.495096629304</v>
      </c>
      <c r="L24" s="243">
        <v>134.7979129795242</v>
      </c>
      <c r="M24" s="243">
        <v>7794.8644051182664</v>
      </c>
      <c r="N24" s="243">
        <v>452.42738864355545</v>
      </c>
      <c r="O24" s="243">
        <v>0</v>
      </c>
      <c r="P24" s="243">
        <v>2115.4787940551191</v>
      </c>
      <c r="Q24" s="69"/>
      <c r="R24" s="244">
        <v>7844.6260000000002</v>
      </c>
      <c r="S24" s="244">
        <v>169.173</v>
      </c>
      <c r="T24" s="243">
        <v>30715.611799999999</v>
      </c>
      <c r="U24" s="243">
        <v>0</v>
      </c>
      <c r="V24" s="243">
        <v>0</v>
      </c>
      <c r="W24" s="243">
        <v>0</v>
      </c>
      <c r="X24" s="243">
        <v>531894.13069999998</v>
      </c>
      <c r="Y24" s="243">
        <v>0</v>
      </c>
    </row>
    <row r="25" spans="3:43" x14ac:dyDescent="0.35">
      <c r="E25" s="27"/>
      <c r="F25" s="62" t="s">
        <v>249</v>
      </c>
      <c r="G25" s="62" t="s">
        <v>207</v>
      </c>
      <c r="J25" s="69"/>
      <c r="K25" s="243">
        <v>91106.652298625209</v>
      </c>
      <c r="L25" s="243">
        <v>64.19339086764441</v>
      </c>
      <c r="M25" s="243">
        <v>25498.055666371529</v>
      </c>
      <c r="N25" s="243">
        <v>248.8001625162569</v>
      </c>
      <c r="O25" s="243">
        <v>0</v>
      </c>
      <c r="P25" s="243">
        <v>1458.3912124412109</v>
      </c>
      <c r="Q25" s="69"/>
      <c r="R25" s="244">
        <v>790.70799999999986</v>
      </c>
      <c r="S25" s="244">
        <v>24.104999999999997</v>
      </c>
      <c r="T25" s="243">
        <v>8447.357399999999</v>
      </c>
      <c r="U25" s="243">
        <v>0</v>
      </c>
      <c r="V25" s="243">
        <v>0</v>
      </c>
      <c r="W25" s="243">
        <v>0</v>
      </c>
      <c r="X25" s="243">
        <v>252426.65710000001</v>
      </c>
      <c r="Y25" s="243">
        <v>0</v>
      </c>
    </row>
    <row r="26" spans="3:43" x14ac:dyDescent="0.35">
      <c r="E26" s="27"/>
      <c r="F26" s="62" t="s">
        <v>212</v>
      </c>
      <c r="G26" s="62" t="s">
        <v>212</v>
      </c>
      <c r="J26" s="69"/>
      <c r="K26" s="243">
        <v>30229.440258963554</v>
      </c>
      <c r="L26" s="243">
        <v>8.9531769600414037</v>
      </c>
      <c r="M26" s="243">
        <v>4514.9354838709687</v>
      </c>
      <c r="N26" s="243">
        <v>12.122280437371904</v>
      </c>
      <c r="O26" s="243">
        <v>0</v>
      </c>
      <c r="P26" s="243">
        <v>79.23866687372356</v>
      </c>
      <c r="Q26" s="69"/>
      <c r="R26" s="243">
        <v>8349.9354838709678</v>
      </c>
      <c r="S26" s="243">
        <v>39</v>
      </c>
      <c r="T26" s="243">
        <v>838.90322580645136</v>
      </c>
      <c r="U26" s="243">
        <v>0</v>
      </c>
      <c r="V26" s="243">
        <v>1</v>
      </c>
      <c r="W26" s="243">
        <v>0</v>
      </c>
      <c r="X26" s="243">
        <v>234.29032258064521</v>
      </c>
      <c r="Y26" s="243">
        <v>0</v>
      </c>
    </row>
    <row r="27" spans="3:43" x14ac:dyDescent="0.35">
      <c r="E27" s="27"/>
      <c r="F27" s="62" t="s">
        <v>250</v>
      </c>
      <c r="G27" s="62" t="s">
        <v>251</v>
      </c>
      <c r="J27" s="69"/>
      <c r="K27" s="69"/>
      <c r="L27" s="69"/>
      <c r="M27" s="69"/>
      <c r="N27" s="243">
        <v>541.06652698643586</v>
      </c>
      <c r="O27" s="243">
        <v>0</v>
      </c>
      <c r="P27" s="243">
        <v>1942.3147725069314</v>
      </c>
      <c r="Q27" s="69"/>
      <c r="R27" s="69"/>
      <c r="S27" s="69"/>
      <c r="T27" s="69"/>
      <c r="U27" s="69"/>
      <c r="V27" s="69"/>
      <c r="W27" s="69"/>
      <c r="X27" s="69"/>
      <c r="Y27" s="69"/>
    </row>
    <row r="28" spans="3:43" x14ac:dyDescent="0.35">
      <c r="E28" s="27"/>
      <c r="F28" s="62" t="s">
        <v>252</v>
      </c>
      <c r="G28" s="62" t="s">
        <v>251</v>
      </c>
      <c r="J28" s="69"/>
      <c r="K28" s="69"/>
      <c r="L28" s="69"/>
      <c r="M28" s="69"/>
      <c r="N28" s="243">
        <v>8.8396001529576367</v>
      </c>
      <c r="O28" s="243">
        <v>0</v>
      </c>
      <c r="P28" s="243">
        <v>40.020366637641082</v>
      </c>
      <c r="Q28" s="69"/>
      <c r="R28" s="69"/>
      <c r="S28" s="69"/>
      <c r="T28" s="69"/>
      <c r="U28" s="69"/>
      <c r="V28" s="69"/>
      <c r="W28" s="69"/>
      <c r="X28" s="69"/>
      <c r="Y28" s="69"/>
    </row>
    <row r="29" spans="3:43" x14ac:dyDescent="0.35">
      <c r="E29" s="27"/>
      <c r="F29" s="70" t="s">
        <v>253</v>
      </c>
      <c r="G29" s="70" t="s">
        <v>254</v>
      </c>
      <c r="H29" s="28"/>
      <c r="I29" s="28"/>
      <c r="J29" s="71"/>
      <c r="K29" s="71"/>
      <c r="L29" s="71"/>
      <c r="M29" s="71"/>
      <c r="N29" s="245">
        <v>58.995876213502676</v>
      </c>
      <c r="O29" s="245">
        <v>0</v>
      </c>
      <c r="P29" s="245">
        <v>274.59031949823634</v>
      </c>
      <c r="Q29" s="71"/>
      <c r="R29" s="71"/>
      <c r="S29" s="71"/>
      <c r="T29" s="245">
        <v>6749.0700869110524</v>
      </c>
      <c r="U29" s="71"/>
      <c r="V29" s="245">
        <v>0</v>
      </c>
      <c r="W29" s="71"/>
      <c r="X29" s="245">
        <v>37191.039110646561</v>
      </c>
      <c r="Y29" s="71"/>
    </row>
    <row r="30" spans="3:43" x14ac:dyDescent="0.35">
      <c r="E30" s="250"/>
      <c r="F30" s="225"/>
      <c r="G30" s="225"/>
      <c r="H30" s="249"/>
      <c r="I30" s="249"/>
      <c r="J30" s="251"/>
      <c r="K30" s="251"/>
      <c r="L30" s="251"/>
      <c r="M30" s="251"/>
      <c r="N30" s="252"/>
      <c r="O30" s="252"/>
      <c r="P30" s="252"/>
      <c r="Q30" s="251"/>
      <c r="R30" s="251"/>
      <c r="S30" s="251"/>
      <c r="T30" s="252"/>
      <c r="U30" s="251"/>
      <c r="V30" s="252"/>
      <c r="W30" s="251"/>
      <c r="X30" s="252"/>
      <c r="Y30" s="251"/>
      <c r="Z30" s="249"/>
      <c r="AA30" s="249"/>
      <c r="AB30" s="249"/>
      <c r="AC30" s="249"/>
      <c r="AD30" s="249"/>
      <c r="AE30" s="249"/>
      <c r="AF30" s="249"/>
      <c r="AG30" s="249"/>
      <c r="AH30" s="249"/>
      <c r="AI30" s="249"/>
      <c r="AJ30" s="249"/>
      <c r="AK30" s="249"/>
      <c r="AL30" s="249"/>
      <c r="AM30" s="249"/>
      <c r="AN30" s="249"/>
      <c r="AO30" s="249"/>
      <c r="AP30" s="249"/>
    </row>
    <row r="31" spans="3:43" x14ac:dyDescent="0.35">
      <c r="E31" s="27" t="s">
        <v>944</v>
      </c>
      <c r="G31" s="12"/>
    </row>
    <row r="32" spans="3:43" x14ac:dyDescent="0.35">
      <c r="E32" s="27"/>
      <c r="F32" s="68" t="s">
        <v>247</v>
      </c>
      <c r="G32" s="68" t="s">
        <v>207</v>
      </c>
      <c r="H32" s="19"/>
      <c r="I32" s="19"/>
      <c r="J32" s="242">
        <v>1178510.0378350527</v>
      </c>
      <c r="K32" s="73"/>
      <c r="L32" s="242">
        <v>25441.776643061443</v>
      </c>
      <c r="M32" s="73"/>
      <c r="N32" s="242">
        <v>92998.855294239955</v>
      </c>
      <c r="O32" s="242">
        <v>101.05515913034712</v>
      </c>
      <c r="P32" s="242">
        <v>23178.770044799025</v>
      </c>
      <c r="Q32" s="242">
        <v>9329.8278943829773</v>
      </c>
      <c r="R32" s="73"/>
      <c r="S32" s="73"/>
      <c r="T32" s="73"/>
      <c r="U32" s="73"/>
      <c r="V32" s="73"/>
      <c r="W32" s="73"/>
      <c r="X32" s="73"/>
      <c r="Y32" s="73"/>
    </row>
    <row r="33" spans="5:42" x14ac:dyDescent="0.35">
      <c r="E33" s="27"/>
      <c r="F33" s="62" t="s">
        <v>248</v>
      </c>
      <c r="G33" s="62" t="s">
        <v>207</v>
      </c>
      <c r="J33" s="243">
        <v>5172352.556943397</v>
      </c>
      <c r="K33" s="69"/>
      <c r="L33" s="243">
        <v>160836.64115535744</v>
      </c>
      <c r="M33" s="316"/>
      <c r="N33" s="243">
        <v>535371.01659444312</v>
      </c>
      <c r="O33" s="243">
        <v>573.15083013354376</v>
      </c>
      <c r="P33" s="243">
        <v>130259.86855627016</v>
      </c>
      <c r="Q33" s="244">
        <v>68320.814254676996</v>
      </c>
      <c r="R33" s="69"/>
      <c r="S33" s="69"/>
      <c r="T33" s="69"/>
      <c r="U33" s="69"/>
      <c r="V33" s="69"/>
      <c r="W33" s="69"/>
      <c r="X33" s="69"/>
      <c r="Y33" s="69"/>
    </row>
    <row r="34" spans="5:42" x14ac:dyDescent="0.35">
      <c r="E34" s="27"/>
      <c r="F34" s="62" t="s">
        <v>249</v>
      </c>
      <c r="G34" s="62" t="s">
        <v>207</v>
      </c>
      <c r="J34" s="243">
        <v>2852910.2070801561</v>
      </c>
      <c r="K34" s="69"/>
      <c r="L34" s="243">
        <v>76593.54023599191</v>
      </c>
      <c r="M34" s="316"/>
      <c r="N34" s="243">
        <v>294412.75943648262</v>
      </c>
      <c r="O34" s="243">
        <v>381.3072188239953</v>
      </c>
      <c r="P34" s="243">
        <v>89799.930006418159</v>
      </c>
      <c r="Q34" s="244">
        <v>107181.81638894552</v>
      </c>
      <c r="R34" s="69"/>
      <c r="S34" s="69"/>
      <c r="T34" s="69"/>
      <c r="U34" s="69"/>
      <c r="V34" s="69"/>
      <c r="W34" s="69"/>
      <c r="X34" s="69"/>
      <c r="Y34" s="69"/>
    </row>
    <row r="35" spans="5:42" x14ac:dyDescent="0.35">
      <c r="E35" s="27"/>
      <c r="F35" s="62" t="s">
        <v>212</v>
      </c>
      <c r="G35" s="62" t="s">
        <v>212</v>
      </c>
      <c r="J35" s="243">
        <v>2883067.3258877532</v>
      </c>
      <c r="K35" s="69"/>
      <c r="L35" s="243">
        <v>89867.465601055635</v>
      </c>
      <c r="M35" s="316"/>
      <c r="N35" s="243">
        <v>10302.456027690891</v>
      </c>
      <c r="O35" s="243">
        <v>5</v>
      </c>
      <c r="P35" s="243">
        <v>478.83071857148411</v>
      </c>
      <c r="Q35" s="243">
        <v>3978.3387096774172</v>
      </c>
      <c r="R35" s="69"/>
      <c r="S35" s="69"/>
      <c r="T35" s="69"/>
      <c r="U35" s="69"/>
      <c r="V35" s="69"/>
      <c r="W35" s="69"/>
      <c r="X35" s="69"/>
      <c r="Y35" s="69"/>
    </row>
    <row r="36" spans="5:42" x14ac:dyDescent="0.35">
      <c r="E36" s="27"/>
      <c r="F36" s="62" t="s">
        <v>250</v>
      </c>
      <c r="G36" s="62" t="s">
        <v>251</v>
      </c>
      <c r="J36" s="69"/>
      <c r="K36" s="69"/>
      <c r="L36" s="69"/>
      <c r="M36" s="316"/>
      <c r="N36" s="243">
        <v>640260.39065943938</v>
      </c>
      <c r="O36" s="243">
        <v>457.61497359160671</v>
      </c>
      <c r="P36" s="243">
        <v>119597.35435431766</v>
      </c>
      <c r="Q36" s="69"/>
      <c r="R36" s="69"/>
      <c r="S36" s="69"/>
      <c r="T36" s="69"/>
      <c r="U36" s="69"/>
      <c r="V36" s="69"/>
      <c r="W36" s="69"/>
      <c r="X36" s="69"/>
      <c r="Y36" s="69"/>
    </row>
    <row r="37" spans="5:42" x14ac:dyDescent="0.35">
      <c r="E37" s="27"/>
      <c r="F37" s="62" t="s">
        <v>252</v>
      </c>
      <c r="G37" s="62" t="s">
        <v>251</v>
      </c>
      <c r="J37" s="69"/>
      <c r="K37" s="69"/>
      <c r="L37" s="69"/>
      <c r="M37" s="316"/>
      <c r="N37" s="243">
        <v>10460.166291802007</v>
      </c>
      <c r="O37" s="243">
        <v>2.4188773321338299</v>
      </c>
      <c r="P37" s="243">
        <v>2464.2401107694777</v>
      </c>
      <c r="Q37" s="69"/>
      <c r="R37" s="69"/>
      <c r="S37" s="69"/>
      <c r="T37" s="69"/>
      <c r="U37" s="69"/>
      <c r="V37" s="69"/>
      <c r="W37" s="69"/>
      <c r="X37" s="69"/>
      <c r="Y37" s="69"/>
    </row>
    <row r="38" spans="5:42" x14ac:dyDescent="0.35">
      <c r="E38" s="27"/>
      <c r="F38" s="70" t="s">
        <v>253</v>
      </c>
      <c r="G38" s="70" t="s">
        <v>254</v>
      </c>
      <c r="H38" s="28"/>
      <c r="I38" s="28"/>
      <c r="J38" s="71"/>
      <c r="K38" s="71"/>
      <c r="L38" s="71"/>
      <c r="M38" s="71"/>
      <c r="N38" s="245">
        <v>69811.605168286609</v>
      </c>
      <c r="O38" s="245">
        <v>80.334257737303417</v>
      </c>
      <c r="P38" s="245">
        <v>16907.803105934869</v>
      </c>
      <c r="Q38" s="71"/>
      <c r="R38" s="71"/>
      <c r="S38" s="71"/>
      <c r="T38" s="71"/>
      <c r="U38" s="71"/>
      <c r="V38" s="71"/>
      <c r="W38" s="71"/>
      <c r="X38" s="71"/>
      <c r="Y38" s="71"/>
    </row>
    <row r="39" spans="5:42" x14ac:dyDescent="0.35">
      <c r="E39" s="250"/>
      <c r="F39" s="225"/>
      <c r="G39" s="225"/>
      <c r="H39" s="249"/>
      <c r="I39" s="249"/>
      <c r="J39" s="251"/>
      <c r="K39" s="251"/>
      <c r="L39" s="251"/>
      <c r="M39" s="251"/>
      <c r="N39" s="252"/>
      <c r="O39" s="252"/>
      <c r="P39" s="252"/>
      <c r="Q39" s="251"/>
      <c r="R39" s="251"/>
      <c r="S39" s="251"/>
      <c r="T39" s="252"/>
      <c r="U39" s="251"/>
      <c r="V39" s="252"/>
      <c r="W39" s="251"/>
      <c r="X39" s="252"/>
      <c r="Y39" s="251"/>
      <c r="Z39" s="249"/>
      <c r="AA39" s="249"/>
      <c r="AB39" s="249"/>
      <c r="AC39" s="249"/>
      <c r="AD39" s="249"/>
      <c r="AE39" s="249"/>
      <c r="AF39" s="249"/>
      <c r="AG39" s="249"/>
      <c r="AH39" s="249"/>
      <c r="AI39" s="249"/>
      <c r="AJ39" s="249"/>
      <c r="AK39" s="249"/>
      <c r="AL39" s="249"/>
      <c r="AM39" s="249"/>
      <c r="AN39" s="249"/>
      <c r="AO39" s="249"/>
      <c r="AP39" s="249"/>
    </row>
    <row r="40" spans="5:42" x14ac:dyDescent="0.35">
      <c r="E40" s="27" t="s">
        <v>945</v>
      </c>
      <c r="G40" s="12"/>
    </row>
    <row r="41" spans="5:42" x14ac:dyDescent="0.35">
      <c r="E41" s="27"/>
      <c r="F41" s="68" t="s">
        <v>247</v>
      </c>
      <c r="G41" s="68" t="s">
        <v>207</v>
      </c>
      <c r="H41" s="19"/>
      <c r="I41" s="19"/>
      <c r="J41" s="73"/>
      <c r="K41" s="73"/>
      <c r="L41" s="242">
        <v>52914.692479531048</v>
      </c>
      <c r="M41" s="73"/>
      <c r="N41" s="242">
        <v>91368.864784198726</v>
      </c>
      <c r="O41" s="242">
        <v>1318.0565416784348</v>
      </c>
      <c r="P41" s="242">
        <v>87260.01683194864</v>
      </c>
      <c r="Q41" s="73"/>
      <c r="R41" s="73"/>
      <c r="S41" s="73"/>
      <c r="T41" s="73"/>
      <c r="U41" s="73"/>
      <c r="V41" s="73"/>
      <c r="W41" s="73"/>
      <c r="X41" s="73"/>
      <c r="Y41" s="73"/>
    </row>
    <row r="42" spans="5:42" x14ac:dyDescent="0.35">
      <c r="E42" s="27"/>
      <c r="F42" s="62" t="s">
        <v>248</v>
      </c>
      <c r="G42" s="62" t="s">
        <v>207</v>
      </c>
      <c r="J42" s="69"/>
      <c r="K42" s="69"/>
      <c r="L42" s="243">
        <v>334513.64366479765</v>
      </c>
      <c r="M42" s="69"/>
      <c r="N42" s="243">
        <v>525987.57124300208</v>
      </c>
      <c r="O42" s="243">
        <v>7475.5728210919278</v>
      </c>
      <c r="P42" s="243">
        <v>490383.15237516334</v>
      </c>
      <c r="Q42" s="69"/>
      <c r="R42" s="69"/>
      <c r="S42" s="69"/>
      <c r="T42" s="69"/>
      <c r="U42" s="69"/>
      <c r="V42" s="69"/>
      <c r="W42" s="69"/>
      <c r="X42" s="69"/>
      <c r="Y42" s="69"/>
    </row>
    <row r="43" spans="5:42" x14ac:dyDescent="0.35">
      <c r="E43" s="27"/>
      <c r="F43" s="62" t="s">
        <v>249</v>
      </c>
      <c r="G43" s="62" t="s">
        <v>207</v>
      </c>
      <c r="J43" s="69"/>
      <c r="K43" s="69"/>
      <c r="L43" s="243">
        <v>159301.91056886845</v>
      </c>
      <c r="M43" s="69"/>
      <c r="N43" s="243">
        <v>289252.58835267532</v>
      </c>
      <c r="O43" s="243">
        <v>4973.367797203834</v>
      </c>
      <c r="P43" s="243">
        <v>338065.5396607694</v>
      </c>
      <c r="Q43" s="69"/>
      <c r="R43" s="69"/>
      <c r="S43" s="69"/>
      <c r="T43" s="69"/>
      <c r="U43" s="69"/>
      <c r="V43" s="69"/>
      <c r="W43" s="69"/>
      <c r="X43" s="69"/>
      <c r="Y43" s="69"/>
    </row>
    <row r="44" spans="5:42" x14ac:dyDescent="0.35">
      <c r="E44" s="27"/>
      <c r="F44" s="62" t="s">
        <v>212</v>
      </c>
      <c r="G44" s="62" t="s">
        <v>212</v>
      </c>
      <c r="J44" s="69"/>
      <c r="K44" s="69"/>
      <c r="L44" s="243">
        <v>68282.350747835793</v>
      </c>
      <c r="M44" s="69"/>
      <c r="N44" s="243">
        <v>5922.1292854095691</v>
      </c>
      <c r="O44" s="243">
        <v>43.935483870967744</v>
      </c>
      <c r="P44" s="243">
        <v>692.49674799691286</v>
      </c>
      <c r="Q44" s="69"/>
      <c r="R44" s="69"/>
      <c r="S44" s="69"/>
      <c r="T44" s="69"/>
      <c r="U44" s="69"/>
      <c r="V44" s="69"/>
      <c r="W44" s="69"/>
      <c r="X44" s="69"/>
      <c r="Y44" s="69"/>
    </row>
    <row r="45" spans="5:42" x14ac:dyDescent="0.35">
      <c r="E45" s="27"/>
      <c r="F45" s="62" t="s">
        <v>250</v>
      </c>
      <c r="G45" s="62" t="s">
        <v>251</v>
      </c>
      <c r="J45" s="69"/>
      <c r="K45" s="69"/>
      <c r="L45" s="69"/>
      <c r="M45" s="69"/>
      <c r="N45" s="243">
        <v>629038.54973001871</v>
      </c>
      <c r="O45" s="243">
        <v>5968.6453883509857</v>
      </c>
      <c r="P45" s="243">
        <v>450242.49059996969</v>
      </c>
      <c r="Q45" s="69"/>
      <c r="R45" s="69"/>
      <c r="S45" s="69"/>
      <c r="T45" s="69"/>
      <c r="U45" s="69"/>
      <c r="V45" s="69"/>
      <c r="W45" s="69"/>
      <c r="X45" s="69"/>
      <c r="Y45" s="69"/>
    </row>
    <row r="46" spans="5:42" x14ac:dyDescent="0.35">
      <c r="E46" s="27"/>
      <c r="F46" s="62" t="s">
        <v>252</v>
      </c>
      <c r="G46" s="62" t="s">
        <v>251</v>
      </c>
      <c r="J46" s="69"/>
      <c r="K46" s="69"/>
      <c r="L46" s="69"/>
      <c r="M46" s="69"/>
      <c r="N46" s="243">
        <v>10276.83100519933</v>
      </c>
      <c r="O46" s="243">
        <v>31.549275846711769</v>
      </c>
      <c r="P46" s="243">
        <v>9277.0079313141578</v>
      </c>
      <c r="Q46" s="69"/>
      <c r="R46" s="69"/>
      <c r="S46" s="69"/>
      <c r="T46" s="69"/>
      <c r="U46" s="69"/>
      <c r="V46" s="69"/>
      <c r="W46" s="69"/>
      <c r="X46" s="69"/>
      <c r="Y46" s="69"/>
    </row>
    <row r="47" spans="5:42" x14ac:dyDescent="0.35">
      <c r="E47" s="27"/>
      <c r="F47" s="70" t="s">
        <v>253</v>
      </c>
      <c r="G47" s="70" t="s">
        <v>254</v>
      </c>
      <c r="H47" s="28"/>
      <c r="I47" s="28"/>
      <c r="J47" s="71"/>
      <c r="K47" s="71"/>
      <c r="L47" s="71"/>
      <c r="M47" s="71"/>
      <c r="N47" s="245">
        <v>68588.017484814336</v>
      </c>
      <c r="O47" s="245">
        <v>1047.7950343431464</v>
      </c>
      <c r="P47" s="245">
        <v>63652.004863226233</v>
      </c>
      <c r="Q47" s="71"/>
      <c r="R47" s="71"/>
      <c r="S47" s="71"/>
      <c r="T47" s="71"/>
      <c r="U47" s="71"/>
      <c r="V47" s="71"/>
      <c r="W47" s="71"/>
      <c r="X47" s="71"/>
      <c r="Y47" s="71"/>
    </row>
    <row r="48" spans="5:42" x14ac:dyDescent="0.35">
      <c r="E48" s="250"/>
      <c r="F48" s="225"/>
      <c r="G48" s="225"/>
      <c r="H48" s="249"/>
      <c r="I48" s="249"/>
      <c r="J48" s="251"/>
      <c r="K48" s="251"/>
      <c r="L48" s="251"/>
      <c r="M48" s="251"/>
      <c r="N48" s="252"/>
      <c r="O48" s="252"/>
      <c r="P48" s="252"/>
      <c r="Q48" s="251"/>
      <c r="R48" s="251"/>
      <c r="S48" s="251"/>
      <c r="T48" s="252"/>
      <c r="U48" s="251"/>
      <c r="V48" s="252"/>
      <c r="W48" s="251"/>
      <c r="X48" s="252"/>
      <c r="Y48" s="251"/>
      <c r="Z48" s="249"/>
      <c r="AA48" s="249"/>
      <c r="AB48" s="249"/>
      <c r="AC48" s="249"/>
      <c r="AD48" s="249"/>
      <c r="AE48" s="249"/>
      <c r="AF48" s="249"/>
      <c r="AG48" s="249"/>
      <c r="AH48" s="249"/>
      <c r="AI48" s="249"/>
      <c r="AJ48" s="249"/>
      <c r="AK48" s="249"/>
      <c r="AL48" s="249"/>
      <c r="AM48" s="249"/>
      <c r="AN48" s="249"/>
      <c r="AO48" s="249"/>
      <c r="AP48" s="249"/>
    </row>
    <row r="49" spans="5:42" x14ac:dyDescent="0.35">
      <c r="E49" s="27" t="s">
        <v>946</v>
      </c>
      <c r="G49" s="12"/>
    </row>
    <row r="50" spans="5:42" x14ac:dyDescent="0.35">
      <c r="E50" s="27"/>
      <c r="F50" s="68" t="s">
        <v>247</v>
      </c>
      <c r="G50" s="68" t="s">
        <v>207</v>
      </c>
      <c r="H50" s="19"/>
      <c r="I50" s="19"/>
      <c r="J50" s="73"/>
      <c r="K50" s="73"/>
      <c r="L50" s="242">
        <v>61009.229305397719</v>
      </c>
      <c r="M50" s="73"/>
      <c r="N50" s="242">
        <v>73655.233429662068</v>
      </c>
      <c r="O50" s="242">
        <v>2018.331463068005</v>
      </c>
      <c r="P50" s="242">
        <v>68994.102802540176</v>
      </c>
      <c r="Q50" s="73"/>
      <c r="R50" s="73"/>
      <c r="S50" s="73"/>
      <c r="T50" s="73"/>
      <c r="U50" s="73"/>
      <c r="V50" s="73"/>
      <c r="W50" s="73"/>
      <c r="X50" s="73"/>
      <c r="Y50" s="73"/>
    </row>
    <row r="51" spans="5:42" x14ac:dyDescent="0.35">
      <c r="E51" s="27"/>
      <c r="F51" s="62" t="s">
        <v>248</v>
      </c>
      <c r="G51" s="62" t="s">
        <v>207</v>
      </c>
      <c r="J51" s="69"/>
      <c r="K51" s="69"/>
      <c r="L51" s="243">
        <v>385685.31037054252</v>
      </c>
      <c r="M51" s="69"/>
      <c r="N51" s="243">
        <v>424014.651298418</v>
      </c>
      <c r="O51" s="243">
        <v>11447.296342880969</v>
      </c>
      <c r="P51" s="243">
        <v>387732.51319404069</v>
      </c>
      <c r="Q51" s="69"/>
      <c r="R51" s="69"/>
      <c r="S51" s="69"/>
      <c r="T51" s="69"/>
      <c r="U51" s="69"/>
      <c r="V51" s="69"/>
      <c r="W51" s="69"/>
      <c r="X51" s="69"/>
      <c r="Y51" s="69"/>
    </row>
    <row r="52" spans="5:42" x14ac:dyDescent="0.35">
      <c r="E52" s="27"/>
      <c r="F52" s="62" t="s">
        <v>249</v>
      </c>
      <c r="G52" s="62" t="s">
        <v>207</v>
      </c>
      <c r="J52" s="69"/>
      <c r="K52" s="69"/>
      <c r="L52" s="243">
        <v>183670.85463916484</v>
      </c>
      <c r="M52" s="69"/>
      <c r="N52" s="243">
        <v>233175.34879709611</v>
      </c>
      <c r="O52" s="243">
        <v>7615.6859627002677</v>
      </c>
      <c r="P52" s="243">
        <v>267299.15308486967</v>
      </c>
      <c r="Q52" s="69"/>
      <c r="R52" s="69"/>
      <c r="S52" s="69"/>
      <c r="T52" s="69"/>
      <c r="U52" s="69"/>
      <c r="V52" s="69"/>
      <c r="W52" s="69"/>
      <c r="X52" s="69"/>
      <c r="Y52" s="69"/>
    </row>
    <row r="53" spans="5:42" x14ac:dyDescent="0.35">
      <c r="E53" s="27"/>
      <c r="F53" s="62" t="s">
        <v>212</v>
      </c>
      <c r="G53" s="62" t="s">
        <v>212</v>
      </c>
      <c r="J53" s="69"/>
      <c r="K53" s="69"/>
      <c r="L53" s="243">
        <v>35175.556124962684</v>
      </c>
      <c r="M53" s="69"/>
      <c r="N53" s="243">
        <v>2820.8678341682225</v>
      </c>
      <c r="O53" s="243">
        <v>51.967741935483893</v>
      </c>
      <c r="P53" s="243">
        <v>278.04744626032908</v>
      </c>
      <c r="Q53" s="69"/>
      <c r="R53" s="69"/>
      <c r="S53" s="69"/>
      <c r="T53" s="69"/>
      <c r="U53" s="69"/>
      <c r="V53" s="69"/>
      <c r="W53" s="69"/>
      <c r="X53" s="69"/>
      <c r="Y53" s="69"/>
    </row>
    <row r="54" spans="5:42" x14ac:dyDescent="0.35">
      <c r="E54" s="27"/>
      <c r="F54" s="62" t="s">
        <v>250</v>
      </c>
      <c r="G54" s="62" t="s">
        <v>251</v>
      </c>
      <c r="J54" s="69"/>
      <c r="K54" s="69"/>
      <c r="L54" s="69"/>
      <c r="M54" s="69"/>
      <c r="N54" s="243">
        <v>507087.19349912775</v>
      </c>
      <c r="O54" s="243">
        <v>9139.7481050881743</v>
      </c>
      <c r="P54" s="243">
        <v>355994.39251027623</v>
      </c>
      <c r="Q54" s="69"/>
      <c r="R54" s="69"/>
      <c r="S54" s="69"/>
      <c r="T54" s="69"/>
      <c r="U54" s="69"/>
      <c r="V54" s="69"/>
      <c r="W54" s="69"/>
      <c r="X54" s="69"/>
      <c r="Y54" s="69"/>
    </row>
    <row r="55" spans="5:42" x14ac:dyDescent="0.35">
      <c r="E55" s="27"/>
      <c r="F55" s="62" t="s">
        <v>252</v>
      </c>
      <c r="G55" s="62" t="s">
        <v>251</v>
      </c>
      <c r="J55" s="69"/>
      <c r="K55" s="69"/>
      <c r="L55" s="69"/>
      <c r="M55" s="69"/>
      <c r="N55" s="243">
        <v>8284.4674539072348</v>
      </c>
      <c r="O55" s="243">
        <v>48.311202186624435</v>
      </c>
      <c r="P55" s="243">
        <v>7335.0758130810245</v>
      </c>
      <c r="Q55" s="69"/>
      <c r="R55" s="69"/>
      <c r="S55" s="69"/>
      <c r="T55" s="69"/>
      <c r="U55" s="69"/>
      <c r="V55" s="69"/>
      <c r="W55" s="69"/>
      <c r="X55" s="69"/>
      <c r="Y55" s="69"/>
    </row>
    <row r="56" spans="5:42" x14ac:dyDescent="0.35">
      <c r="E56" s="27"/>
      <c r="F56" s="70" t="s">
        <v>253</v>
      </c>
      <c r="G56" s="70" t="s">
        <v>254</v>
      </c>
      <c r="H56" s="28"/>
      <c r="I56" s="28"/>
      <c r="J56" s="71"/>
      <c r="K56" s="71"/>
      <c r="L56" s="71"/>
      <c r="M56" s="71"/>
      <c r="N56" s="245">
        <v>55290.896414808143</v>
      </c>
      <c r="O56" s="245">
        <v>1604.4817637096016</v>
      </c>
      <c r="P56" s="245">
        <v>50327.89502641157</v>
      </c>
      <c r="Q56" s="71"/>
      <c r="R56" s="71"/>
      <c r="S56" s="71"/>
      <c r="T56" s="71"/>
      <c r="U56" s="71"/>
      <c r="V56" s="71"/>
      <c r="W56" s="71"/>
      <c r="X56" s="71"/>
      <c r="Y56" s="71"/>
    </row>
    <row r="57" spans="5:42" x14ac:dyDescent="0.35">
      <c r="E57" s="250"/>
      <c r="F57" s="225"/>
      <c r="G57" s="225"/>
      <c r="H57" s="249"/>
      <c r="I57" s="249"/>
      <c r="J57" s="251"/>
      <c r="K57" s="251"/>
      <c r="L57" s="251"/>
      <c r="M57" s="251"/>
      <c r="N57" s="252"/>
      <c r="O57" s="252"/>
      <c r="P57" s="252"/>
      <c r="Q57" s="251"/>
      <c r="R57" s="251"/>
      <c r="S57" s="251"/>
      <c r="T57" s="252"/>
      <c r="U57" s="251"/>
      <c r="V57" s="252"/>
      <c r="W57" s="251"/>
      <c r="X57" s="252"/>
      <c r="Y57" s="251"/>
      <c r="Z57" s="249"/>
      <c r="AA57" s="249"/>
      <c r="AB57" s="249"/>
      <c r="AC57" s="249"/>
      <c r="AD57" s="249"/>
      <c r="AE57" s="249"/>
      <c r="AF57" s="249"/>
      <c r="AG57" s="249"/>
      <c r="AH57" s="249"/>
      <c r="AI57" s="249"/>
      <c r="AJ57" s="249"/>
      <c r="AK57" s="249"/>
      <c r="AL57" s="249"/>
      <c r="AM57" s="249"/>
      <c r="AN57" s="249"/>
      <c r="AO57" s="249"/>
      <c r="AP57" s="249"/>
    </row>
    <row r="58" spans="5:42" x14ac:dyDescent="0.35">
      <c r="E58" s="27" t="s">
        <v>947</v>
      </c>
      <c r="G58" s="12"/>
    </row>
    <row r="59" spans="5:42" x14ac:dyDescent="0.35">
      <c r="E59" s="27"/>
      <c r="F59" s="68" t="s">
        <v>247</v>
      </c>
      <c r="G59" s="68" t="s">
        <v>207</v>
      </c>
      <c r="H59" s="19"/>
      <c r="I59" s="19"/>
      <c r="J59" s="73"/>
      <c r="K59" s="73"/>
      <c r="L59" s="242">
        <v>165742.8558292884</v>
      </c>
      <c r="M59" s="73"/>
      <c r="N59" s="242">
        <v>241925.66911120774</v>
      </c>
      <c r="O59" s="242">
        <v>25164.837795281204</v>
      </c>
      <c r="P59" s="242">
        <v>199820.35159933308</v>
      </c>
      <c r="Q59" s="73"/>
      <c r="R59" s="73"/>
      <c r="S59" s="73"/>
      <c r="T59" s="73"/>
      <c r="U59" s="73"/>
      <c r="V59" s="73"/>
      <c r="W59" s="73"/>
      <c r="X59" s="73"/>
      <c r="Y59" s="73"/>
    </row>
    <row r="60" spans="5:42" x14ac:dyDescent="0.35">
      <c r="E60" s="27"/>
      <c r="F60" s="62" t="s">
        <v>248</v>
      </c>
      <c r="G60" s="62" t="s">
        <v>207</v>
      </c>
      <c r="J60" s="69"/>
      <c r="K60" s="69"/>
      <c r="L60" s="243">
        <v>1047785.4829509136</v>
      </c>
      <c r="M60" s="69"/>
      <c r="N60" s="243">
        <v>1392705.2220435254</v>
      </c>
      <c r="O60" s="243">
        <v>142726.48518555507</v>
      </c>
      <c r="P60" s="243">
        <v>1122948.8313611895</v>
      </c>
      <c r="Q60" s="69"/>
      <c r="R60" s="69"/>
      <c r="S60" s="69"/>
      <c r="T60" s="69"/>
      <c r="U60" s="69"/>
      <c r="V60" s="69"/>
      <c r="W60" s="69"/>
      <c r="X60" s="69"/>
      <c r="Y60" s="69"/>
    </row>
    <row r="61" spans="5:42" x14ac:dyDescent="0.35">
      <c r="E61" s="27"/>
      <c r="F61" s="62" t="s">
        <v>249</v>
      </c>
      <c r="G61" s="62" t="s">
        <v>207</v>
      </c>
      <c r="J61" s="69"/>
      <c r="K61" s="69"/>
      <c r="L61" s="243">
        <v>498975.84885255969</v>
      </c>
      <c r="M61" s="69"/>
      <c r="N61" s="243">
        <v>765880.43579886516</v>
      </c>
      <c r="O61" s="243">
        <v>94953.43329773724</v>
      </c>
      <c r="P61" s="243">
        <v>774150.37781542307</v>
      </c>
      <c r="Q61" s="69"/>
      <c r="R61" s="69"/>
      <c r="S61" s="69"/>
      <c r="T61" s="69"/>
      <c r="U61" s="69"/>
      <c r="V61" s="69"/>
      <c r="W61" s="69"/>
      <c r="X61" s="69"/>
      <c r="Y61" s="69"/>
    </row>
    <row r="62" spans="5:42" x14ac:dyDescent="0.35">
      <c r="E62" s="27"/>
      <c r="F62" s="62" t="s">
        <v>212</v>
      </c>
      <c r="G62" s="62" t="s">
        <v>212</v>
      </c>
      <c r="J62" s="69"/>
      <c r="K62" s="69"/>
      <c r="L62" s="243">
        <v>34146.197496477944</v>
      </c>
      <c r="M62" s="69"/>
      <c r="N62" s="243">
        <v>3835.779411003623</v>
      </c>
      <c r="O62" s="243">
        <v>198.54838709677418</v>
      </c>
      <c r="P62" s="243">
        <v>313.32936901047566</v>
      </c>
      <c r="Q62" s="69"/>
      <c r="R62" s="69"/>
      <c r="S62" s="69"/>
      <c r="T62" s="69"/>
      <c r="U62" s="69"/>
      <c r="V62" s="69"/>
      <c r="W62" s="69"/>
      <c r="X62" s="69"/>
      <c r="Y62" s="69"/>
    </row>
    <row r="63" spans="5:42" x14ac:dyDescent="0.35">
      <c r="E63" s="27"/>
      <c r="F63" s="62" t="s">
        <v>250</v>
      </c>
      <c r="G63" s="62" t="s">
        <v>251</v>
      </c>
      <c r="J63" s="69"/>
      <c r="K63" s="69"/>
      <c r="L63" s="69"/>
      <c r="M63" s="69"/>
      <c r="N63" s="243">
        <v>1665562.6881171069</v>
      </c>
      <c r="O63" s="243">
        <v>113955.65236081497</v>
      </c>
      <c r="P63" s="243">
        <v>1031029.055952524</v>
      </c>
      <c r="Q63" s="69"/>
      <c r="R63" s="69"/>
      <c r="S63" s="69"/>
      <c r="T63" s="69"/>
      <c r="U63" s="69"/>
      <c r="V63" s="69"/>
      <c r="W63" s="69"/>
      <c r="X63" s="69"/>
      <c r="Y63" s="69"/>
    </row>
    <row r="64" spans="5:42" x14ac:dyDescent="0.35">
      <c r="E64" s="27"/>
      <c r="F64" s="62" t="s">
        <v>252</v>
      </c>
      <c r="G64" s="62" t="s">
        <v>251</v>
      </c>
      <c r="J64" s="69"/>
      <c r="K64" s="69"/>
      <c r="L64" s="69"/>
      <c r="M64" s="69"/>
      <c r="N64" s="243">
        <v>27210.901910052191</v>
      </c>
      <c r="O64" s="243">
        <v>602.3507976600747</v>
      </c>
      <c r="P64" s="243">
        <v>21243.807346439633</v>
      </c>
      <c r="Q64" s="69"/>
      <c r="R64" s="69"/>
      <c r="S64" s="69"/>
      <c r="T64" s="69"/>
      <c r="U64" s="69"/>
      <c r="V64" s="69"/>
      <c r="W64" s="69"/>
      <c r="X64" s="69"/>
      <c r="Y64" s="69"/>
    </row>
    <row r="65" spans="4:43" x14ac:dyDescent="0.35">
      <c r="E65" s="27"/>
      <c r="F65" s="70" t="s">
        <v>253</v>
      </c>
      <c r="G65" s="70" t="s">
        <v>254</v>
      </c>
      <c r="H65" s="28"/>
      <c r="I65" s="28"/>
      <c r="J65" s="71"/>
      <c r="K65" s="71"/>
      <c r="L65" s="71"/>
      <c r="M65" s="71"/>
      <c r="N65" s="245">
        <v>181606.74385323591</v>
      </c>
      <c r="O65" s="245">
        <v>20004.902102583135</v>
      </c>
      <c r="P65" s="245">
        <v>145759.38045333393</v>
      </c>
      <c r="Q65" s="71"/>
      <c r="R65" s="71"/>
      <c r="S65" s="71"/>
      <c r="T65" s="71"/>
      <c r="U65" s="71"/>
      <c r="V65" s="71"/>
      <c r="W65" s="71"/>
      <c r="X65" s="71"/>
      <c r="Y65" s="71"/>
    </row>
    <row r="66" spans="4:43" x14ac:dyDescent="0.35">
      <c r="E66" s="250"/>
      <c r="F66" s="225"/>
      <c r="G66" s="225"/>
      <c r="H66" s="249"/>
      <c r="I66" s="249"/>
      <c r="J66" s="251"/>
      <c r="K66" s="251"/>
      <c r="L66" s="251"/>
      <c r="M66" s="251"/>
      <c r="N66" s="252"/>
      <c r="O66" s="252"/>
      <c r="P66" s="252"/>
      <c r="Q66" s="251"/>
      <c r="R66" s="251"/>
      <c r="S66" s="251"/>
      <c r="T66" s="252"/>
      <c r="U66" s="251"/>
      <c r="V66" s="252"/>
      <c r="W66" s="251"/>
      <c r="X66" s="252"/>
      <c r="Y66" s="251"/>
      <c r="Z66" s="249"/>
      <c r="AA66" s="249"/>
      <c r="AB66" s="249"/>
      <c r="AC66" s="249"/>
      <c r="AD66" s="249"/>
      <c r="AE66" s="249"/>
      <c r="AF66" s="249"/>
      <c r="AG66" s="249"/>
      <c r="AH66" s="249"/>
      <c r="AI66" s="249"/>
      <c r="AJ66" s="249"/>
      <c r="AK66" s="249"/>
      <c r="AL66" s="249"/>
      <c r="AM66" s="249"/>
      <c r="AN66" s="249"/>
      <c r="AO66" s="249"/>
      <c r="AP66" s="249"/>
    </row>
    <row r="67" spans="4:43" x14ac:dyDescent="0.35">
      <c r="D67" s="24" t="s">
        <v>957</v>
      </c>
      <c r="G67" s="12"/>
      <c r="I67" t="s">
        <v>154</v>
      </c>
      <c r="AQ67" t="s">
        <v>246</v>
      </c>
    </row>
    <row r="68" spans="4:43" x14ac:dyDescent="0.35">
      <c r="G68" s="12"/>
      <c r="Q68" t="s">
        <v>1169</v>
      </c>
    </row>
    <row r="69" spans="4:43" x14ac:dyDescent="0.35">
      <c r="E69" s="27" t="s">
        <v>905</v>
      </c>
      <c r="G69" s="12"/>
    </row>
    <row r="70" spans="4:43" x14ac:dyDescent="0.35">
      <c r="E70" s="27"/>
      <c r="F70" s="68" t="s">
        <v>247</v>
      </c>
      <c r="G70" s="68" t="s">
        <v>207</v>
      </c>
      <c r="H70" s="19"/>
      <c r="I70" s="19"/>
      <c r="J70" s="73"/>
      <c r="K70" s="242">
        <v>0</v>
      </c>
      <c r="L70" s="242">
        <v>0.445960085393863</v>
      </c>
      <c r="M70" s="242">
        <v>13.991341247966051</v>
      </c>
      <c r="N70" s="242">
        <v>0</v>
      </c>
      <c r="O70" s="73"/>
      <c r="P70" s="73"/>
      <c r="Q70" s="73"/>
      <c r="R70" s="242">
        <v>29.156000000000002</v>
      </c>
      <c r="S70" s="73"/>
      <c r="T70" s="242">
        <v>5.6150000000000002</v>
      </c>
      <c r="U70" s="73"/>
      <c r="V70" s="73"/>
      <c r="W70" s="73"/>
      <c r="X70" s="73"/>
      <c r="Y70" s="73"/>
    </row>
    <row r="71" spans="4:43" x14ac:dyDescent="0.35">
      <c r="E71" s="27"/>
      <c r="F71" s="62" t="s">
        <v>248</v>
      </c>
      <c r="G71" s="62" t="s">
        <v>207</v>
      </c>
      <c r="J71" s="69"/>
      <c r="K71" s="243">
        <v>0</v>
      </c>
      <c r="L71" s="243">
        <v>2.8010158597995578</v>
      </c>
      <c r="M71" s="243">
        <v>84.194128157331988</v>
      </c>
      <c r="N71" s="243">
        <v>0</v>
      </c>
      <c r="O71" s="69"/>
      <c r="P71" s="69"/>
      <c r="Q71" s="69"/>
      <c r="R71" s="244">
        <v>236.631</v>
      </c>
      <c r="S71" s="69"/>
      <c r="T71" s="243">
        <v>64.233000000000004</v>
      </c>
      <c r="U71" s="69"/>
      <c r="V71" s="69"/>
      <c r="W71" s="69"/>
      <c r="X71" s="69"/>
      <c r="Y71" s="69"/>
    </row>
    <row r="72" spans="4:43" x14ac:dyDescent="0.35">
      <c r="E72" s="27"/>
      <c r="F72" s="62" t="s">
        <v>249</v>
      </c>
      <c r="G72" s="62" t="s">
        <v>207</v>
      </c>
      <c r="J72" s="69"/>
      <c r="K72" s="243">
        <v>0</v>
      </c>
      <c r="L72" s="243">
        <v>1.3052759364009814</v>
      </c>
      <c r="M72" s="243">
        <v>38.11077354248728</v>
      </c>
      <c r="N72" s="243">
        <v>0</v>
      </c>
      <c r="O72" s="69"/>
      <c r="P72" s="69"/>
      <c r="Q72" s="69"/>
      <c r="R72" s="244">
        <v>21.694000000000003</v>
      </c>
      <c r="S72" s="69"/>
      <c r="T72" s="243">
        <v>2.7059999999999991</v>
      </c>
      <c r="U72" s="69"/>
      <c r="V72" s="69"/>
      <c r="W72" s="69"/>
      <c r="X72" s="69"/>
      <c r="Y72" s="69"/>
    </row>
    <row r="73" spans="4:43" x14ac:dyDescent="0.35">
      <c r="E73" s="27"/>
      <c r="F73" s="62" t="s">
        <v>212</v>
      </c>
      <c r="G73" s="62" t="s">
        <v>212</v>
      </c>
      <c r="J73" s="69"/>
      <c r="K73" s="243">
        <v>0</v>
      </c>
      <c r="L73" s="243">
        <v>1.1689037165358789</v>
      </c>
      <c r="M73" s="243">
        <v>3.0357142857142851</v>
      </c>
      <c r="N73" s="243">
        <v>0</v>
      </c>
      <c r="O73" s="69"/>
      <c r="P73" s="69"/>
      <c r="Q73" s="69"/>
      <c r="R73" s="243">
        <v>104.41935483870968</v>
      </c>
      <c r="S73" s="69"/>
      <c r="T73" s="243">
        <v>1</v>
      </c>
      <c r="U73" s="69"/>
      <c r="V73" s="69"/>
      <c r="W73" s="69"/>
      <c r="X73" s="69"/>
      <c r="Y73" s="69"/>
    </row>
    <row r="74" spans="4:43" x14ac:dyDescent="0.35">
      <c r="E74" s="27"/>
      <c r="F74" s="62" t="s">
        <v>250</v>
      </c>
      <c r="G74" s="62" t="s">
        <v>251</v>
      </c>
      <c r="J74" s="69"/>
      <c r="K74" s="69"/>
      <c r="L74" s="69"/>
      <c r="M74" s="69"/>
      <c r="N74" s="243">
        <v>0</v>
      </c>
      <c r="O74" s="69"/>
      <c r="P74" s="69"/>
      <c r="Q74" s="69"/>
      <c r="R74" s="69"/>
      <c r="S74" s="69"/>
      <c r="T74" s="69"/>
      <c r="U74" s="69"/>
      <c r="V74" s="69"/>
      <c r="W74" s="69"/>
      <c r="X74" s="69"/>
      <c r="Y74" s="69"/>
    </row>
    <row r="75" spans="4:43" x14ac:dyDescent="0.35">
      <c r="E75" s="27"/>
      <c r="F75" s="62" t="s">
        <v>252</v>
      </c>
      <c r="G75" s="62" t="s">
        <v>251</v>
      </c>
      <c r="J75" s="69"/>
      <c r="K75" s="69"/>
      <c r="L75" s="69"/>
      <c r="M75" s="69"/>
      <c r="N75" s="243">
        <v>0</v>
      </c>
      <c r="O75" s="69"/>
      <c r="P75" s="69"/>
      <c r="Q75" s="69"/>
      <c r="R75" s="69"/>
      <c r="S75" s="69"/>
      <c r="T75" s="69"/>
      <c r="U75" s="69"/>
      <c r="V75" s="69"/>
      <c r="W75" s="69"/>
      <c r="X75" s="69"/>
      <c r="Y75" s="69"/>
    </row>
    <row r="76" spans="4:43" x14ac:dyDescent="0.35">
      <c r="E76" s="27"/>
      <c r="F76" s="70" t="s">
        <v>253</v>
      </c>
      <c r="G76" s="70" t="s">
        <v>254</v>
      </c>
      <c r="H76" s="28"/>
      <c r="I76" s="28"/>
      <c r="J76" s="71"/>
      <c r="K76" s="71"/>
      <c r="L76" s="71"/>
      <c r="M76" s="71"/>
      <c r="N76" s="245">
        <v>0</v>
      </c>
      <c r="O76" s="71"/>
      <c r="P76" s="71"/>
      <c r="Q76" s="71"/>
      <c r="R76" s="71"/>
      <c r="S76" s="71"/>
      <c r="T76" s="245">
        <v>1.3384781668828363</v>
      </c>
      <c r="U76" s="71"/>
      <c r="V76" s="71"/>
      <c r="W76" s="71"/>
      <c r="X76" s="71"/>
      <c r="Y76" s="71"/>
    </row>
    <row r="77" spans="4:43" x14ac:dyDescent="0.35">
      <c r="E77" s="250"/>
      <c r="F77" s="225"/>
      <c r="G77" s="225"/>
      <c r="H77" s="249"/>
      <c r="I77" s="249"/>
      <c r="J77" s="251"/>
      <c r="K77" s="251"/>
      <c r="L77" s="251"/>
      <c r="M77" s="251"/>
      <c r="N77" s="252"/>
      <c r="O77" s="251"/>
      <c r="P77" s="251"/>
      <c r="Q77" s="251"/>
      <c r="R77" s="251"/>
      <c r="S77" s="251"/>
      <c r="T77" s="252"/>
      <c r="U77" s="251"/>
      <c r="V77" s="252"/>
      <c r="W77" s="251"/>
      <c r="X77" s="252"/>
      <c r="Y77" s="251"/>
      <c r="Z77" s="249"/>
      <c r="AA77" s="249"/>
      <c r="AB77" s="249"/>
      <c r="AC77" s="249"/>
      <c r="AD77" s="249"/>
      <c r="AE77" s="249"/>
      <c r="AF77" s="249"/>
      <c r="AG77" s="249"/>
      <c r="AH77" s="249"/>
      <c r="AI77" s="249"/>
      <c r="AJ77" s="249"/>
      <c r="AK77" s="249"/>
      <c r="AL77" s="249"/>
      <c r="AM77" s="249"/>
      <c r="AN77" s="249"/>
      <c r="AO77" s="249"/>
      <c r="AP77" s="249"/>
    </row>
    <row r="78" spans="4:43" x14ac:dyDescent="0.35">
      <c r="E78" s="27" t="s">
        <v>948</v>
      </c>
      <c r="G78" s="12"/>
    </row>
    <row r="79" spans="4:43" x14ac:dyDescent="0.35">
      <c r="E79" s="27"/>
      <c r="F79" s="68" t="s">
        <v>247</v>
      </c>
      <c r="G79" s="68" t="s">
        <v>207</v>
      </c>
      <c r="H79" s="19"/>
      <c r="I79" s="19"/>
      <c r="J79" s="242">
        <v>7691.139404590519</v>
      </c>
      <c r="K79" s="73"/>
      <c r="L79" s="242">
        <v>300.32169312177052</v>
      </c>
      <c r="M79" s="73"/>
      <c r="N79" s="242">
        <v>150.45430787791497</v>
      </c>
      <c r="O79" s="73"/>
      <c r="P79" s="73"/>
      <c r="Q79" s="242">
        <v>5.3186150842555566</v>
      </c>
      <c r="R79" s="73"/>
      <c r="S79" s="73"/>
      <c r="T79" s="73"/>
      <c r="U79" s="73"/>
      <c r="V79" s="73"/>
      <c r="W79" s="73"/>
      <c r="X79" s="73"/>
      <c r="Y79" s="73"/>
    </row>
    <row r="80" spans="4:43" x14ac:dyDescent="0.35">
      <c r="E80" s="27"/>
      <c r="F80" s="62" t="s">
        <v>248</v>
      </c>
      <c r="G80" s="62" t="s">
        <v>207</v>
      </c>
      <c r="J80" s="243">
        <v>33745.422899500707</v>
      </c>
      <c r="K80" s="69"/>
      <c r="L80" s="243">
        <v>1886.2805282966051</v>
      </c>
      <c r="M80" s="316"/>
      <c r="N80" s="243">
        <v>891.14116200582839</v>
      </c>
      <c r="O80" s="69"/>
      <c r="P80" s="69"/>
      <c r="Q80" s="244">
        <v>36.767992719145923</v>
      </c>
      <c r="R80" s="69"/>
      <c r="S80" s="69"/>
      <c r="T80" s="69"/>
      <c r="U80" s="69"/>
      <c r="V80" s="69"/>
      <c r="W80" s="69"/>
      <c r="X80" s="69"/>
      <c r="Y80" s="69"/>
    </row>
    <row r="81" spans="5:42" x14ac:dyDescent="0.35">
      <c r="E81" s="27"/>
      <c r="F81" s="62" t="s">
        <v>249</v>
      </c>
      <c r="G81" s="62" t="s">
        <v>207</v>
      </c>
      <c r="J81" s="243">
        <v>16590.570421278677</v>
      </c>
      <c r="K81" s="69"/>
      <c r="L81" s="243">
        <v>879.00844055323546</v>
      </c>
      <c r="M81" s="316"/>
      <c r="N81" s="243">
        <v>507.94335818651399</v>
      </c>
      <c r="O81" s="69"/>
      <c r="P81" s="69"/>
      <c r="Q81" s="244">
        <v>30.624798657932054</v>
      </c>
      <c r="R81" s="69"/>
      <c r="S81" s="69"/>
      <c r="T81" s="69"/>
      <c r="U81" s="69"/>
      <c r="V81" s="69"/>
      <c r="W81" s="69"/>
      <c r="X81" s="69"/>
      <c r="Y81" s="69"/>
    </row>
    <row r="82" spans="5:42" x14ac:dyDescent="0.35">
      <c r="E82" s="27"/>
      <c r="F82" s="62" t="s">
        <v>212</v>
      </c>
      <c r="G82" s="62" t="s">
        <v>212</v>
      </c>
      <c r="J82" s="243">
        <v>34816.432226804616</v>
      </c>
      <c r="K82" s="69"/>
      <c r="L82" s="243">
        <v>517.82434642539442</v>
      </c>
      <c r="M82" s="316"/>
      <c r="N82" s="243">
        <v>29.520983168780315</v>
      </c>
      <c r="O82" s="69"/>
      <c r="P82" s="69"/>
      <c r="Q82" s="243">
        <v>71</v>
      </c>
      <c r="R82" s="69"/>
      <c r="S82" s="69"/>
      <c r="T82" s="69"/>
      <c r="U82" s="69"/>
      <c r="V82" s="69"/>
      <c r="W82" s="69"/>
      <c r="X82" s="69"/>
      <c r="Y82" s="69"/>
    </row>
    <row r="83" spans="5:42" x14ac:dyDescent="0.35">
      <c r="E83" s="27"/>
      <c r="F83" s="62" t="s">
        <v>250</v>
      </c>
      <c r="G83" s="62" t="s">
        <v>251</v>
      </c>
      <c r="J83" s="69"/>
      <c r="K83" s="69"/>
      <c r="L83" s="69"/>
      <c r="M83" s="316"/>
      <c r="N83" s="243">
        <v>3317.1094502191418</v>
      </c>
      <c r="O83" s="69"/>
      <c r="P83" s="69"/>
      <c r="Q83" s="69"/>
      <c r="R83" s="69"/>
      <c r="S83" s="69"/>
      <c r="T83" s="69"/>
      <c r="U83" s="69"/>
      <c r="V83" s="69"/>
      <c r="W83" s="69"/>
      <c r="X83" s="69"/>
      <c r="Y83" s="69"/>
    </row>
    <row r="84" spans="5:42" x14ac:dyDescent="0.35">
      <c r="E84" s="27"/>
      <c r="F84" s="62" t="s">
        <v>252</v>
      </c>
      <c r="G84" s="62" t="s">
        <v>251</v>
      </c>
      <c r="J84" s="69"/>
      <c r="K84" s="69"/>
      <c r="L84" s="69"/>
      <c r="M84" s="316"/>
      <c r="N84" s="243">
        <v>7.1938587981151887</v>
      </c>
      <c r="O84" s="69"/>
      <c r="P84" s="69"/>
      <c r="Q84" s="69"/>
      <c r="R84" s="69"/>
      <c r="S84" s="69"/>
      <c r="T84" s="69"/>
      <c r="U84" s="69"/>
      <c r="V84" s="69"/>
      <c r="W84" s="69"/>
      <c r="X84" s="69"/>
      <c r="Y84" s="69"/>
    </row>
    <row r="85" spans="5:42" x14ac:dyDescent="0.35">
      <c r="E85" s="27"/>
      <c r="F85" s="70" t="s">
        <v>253</v>
      </c>
      <c r="G85" s="70" t="s">
        <v>254</v>
      </c>
      <c r="H85" s="28"/>
      <c r="I85" s="28"/>
      <c r="J85" s="71"/>
      <c r="K85" s="71"/>
      <c r="L85" s="71"/>
      <c r="M85" s="71"/>
      <c r="N85" s="245">
        <v>256.6441034040792</v>
      </c>
      <c r="O85" s="71"/>
      <c r="P85" s="71"/>
      <c r="Q85" s="71"/>
      <c r="R85" s="71"/>
      <c r="S85" s="71"/>
      <c r="T85" s="71"/>
      <c r="U85" s="71"/>
      <c r="V85" s="71"/>
      <c r="W85" s="71"/>
      <c r="X85" s="71"/>
      <c r="Y85" s="71"/>
    </row>
    <row r="86" spans="5:42" x14ac:dyDescent="0.35">
      <c r="E86" s="250"/>
      <c r="F86" s="225"/>
      <c r="G86" s="225"/>
      <c r="H86" s="249"/>
      <c r="I86" s="249"/>
      <c r="J86" s="251"/>
      <c r="K86" s="251"/>
      <c r="L86" s="251"/>
      <c r="M86" s="251"/>
      <c r="N86" s="252"/>
      <c r="O86" s="251"/>
      <c r="P86" s="251"/>
      <c r="Q86" s="251"/>
      <c r="R86" s="251"/>
      <c r="S86" s="251"/>
      <c r="T86" s="252"/>
      <c r="U86" s="251"/>
      <c r="V86" s="252"/>
      <c r="W86" s="251"/>
      <c r="X86" s="252"/>
      <c r="Y86" s="251"/>
      <c r="Z86" s="249"/>
      <c r="AA86" s="249"/>
      <c r="AB86" s="249"/>
      <c r="AC86" s="249"/>
      <c r="AD86" s="249"/>
      <c r="AE86" s="249"/>
      <c r="AF86" s="249"/>
      <c r="AG86" s="249"/>
      <c r="AH86" s="249"/>
      <c r="AI86" s="249"/>
      <c r="AJ86" s="249"/>
      <c r="AK86" s="249"/>
      <c r="AL86" s="249"/>
      <c r="AM86" s="249"/>
      <c r="AN86" s="249"/>
      <c r="AO86" s="249"/>
      <c r="AP86" s="249"/>
    </row>
    <row r="87" spans="5:42" x14ac:dyDescent="0.35">
      <c r="E87" s="27" t="s">
        <v>949</v>
      </c>
      <c r="G87" s="12"/>
    </row>
    <row r="88" spans="5:42" x14ac:dyDescent="0.35">
      <c r="E88" s="27"/>
      <c r="F88" s="68" t="s">
        <v>247</v>
      </c>
      <c r="G88" s="68" t="s">
        <v>207</v>
      </c>
      <c r="H88" s="19"/>
      <c r="I88" s="19"/>
      <c r="J88" s="73"/>
      <c r="K88" s="73"/>
      <c r="L88" s="242">
        <v>106.91967872835548</v>
      </c>
      <c r="M88" s="73"/>
      <c r="N88" s="242">
        <v>398.82480495040681</v>
      </c>
      <c r="O88" s="73"/>
      <c r="P88" s="73"/>
      <c r="Q88" s="73"/>
      <c r="R88" s="73"/>
      <c r="S88" s="73"/>
      <c r="T88" s="73"/>
      <c r="U88" s="73"/>
      <c r="V88" s="73"/>
      <c r="W88" s="73"/>
      <c r="X88" s="73"/>
      <c r="Y88" s="73"/>
    </row>
    <row r="89" spans="5:42" x14ac:dyDescent="0.35">
      <c r="E89" s="27"/>
      <c r="F89" s="62" t="s">
        <v>248</v>
      </c>
      <c r="G89" s="62" t="s">
        <v>207</v>
      </c>
      <c r="J89" s="69"/>
      <c r="K89" s="69"/>
      <c r="L89" s="243">
        <v>671.54825207798388</v>
      </c>
      <c r="M89" s="69"/>
      <c r="N89" s="243">
        <v>2362.2401055385371</v>
      </c>
      <c r="O89" s="69"/>
      <c r="P89" s="69"/>
      <c r="Q89" s="69"/>
      <c r="R89" s="69"/>
      <c r="S89" s="69"/>
      <c r="T89" s="69"/>
      <c r="U89" s="69"/>
      <c r="V89" s="69"/>
      <c r="W89" s="69"/>
      <c r="X89" s="69"/>
      <c r="Y89" s="69"/>
    </row>
    <row r="90" spans="5:42" x14ac:dyDescent="0.35">
      <c r="E90" s="27"/>
      <c r="F90" s="62" t="s">
        <v>249</v>
      </c>
      <c r="G90" s="62" t="s">
        <v>207</v>
      </c>
      <c r="J90" s="69"/>
      <c r="K90" s="69"/>
      <c r="L90" s="243">
        <v>312.94209581243126</v>
      </c>
      <c r="M90" s="69"/>
      <c r="N90" s="243">
        <v>1346.4580284332799</v>
      </c>
      <c r="O90" s="69"/>
      <c r="P90" s="69"/>
      <c r="Q90" s="69"/>
      <c r="R90" s="69"/>
      <c r="S90" s="69"/>
      <c r="T90" s="69"/>
      <c r="U90" s="69"/>
      <c r="V90" s="69"/>
      <c r="W90" s="69"/>
      <c r="X90" s="69"/>
      <c r="Y90" s="69"/>
    </row>
    <row r="91" spans="5:42" x14ac:dyDescent="0.35">
      <c r="E91" s="27"/>
      <c r="F91" s="62" t="s">
        <v>212</v>
      </c>
      <c r="G91" s="62" t="s">
        <v>212</v>
      </c>
      <c r="J91" s="69"/>
      <c r="K91" s="69"/>
      <c r="L91" s="243">
        <v>170.47140975673258</v>
      </c>
      <c r="M91" s="69"/>
      <c r="N91" s="243">
        <v>80.649736147757281</v>
      </c>
      <c r="O91" s="69"/>
      <c r="P91" s="69"/>
      <c r="Q91" s="69"/>
      <c r="R91" s="69"/>
      <c r="S91" s="69"/>
      <c r="T91" s="69"/>
      <c r="U91" s="69"/>
      <c r="V91" s="69"/>
      <c r="W91" s="69"/>
      <c r="X91" s="69"/>
      <c r="Y91" s="69"/>
    </row>
    <row r="92" spans="5:42" x14ac:dyDescent="0.35">
      <c r="E92" s="27"/>
      <c r="F92" s="62" t="s">
        <v>250</v>
      </c>
      <c r="G92" s="62" t="s">
        <v>251</v>
      </c>
      <c r="J92" s="69"/>
      <c r="K92" s="69"/>
      <c r="L92" s="69"/>
      <c r="M92" s="69"/>
      <c r="N92" s="243">
        <v>8793.0053193046151</v>
      </c>
      <c r="O92" s="69"/>
      <c r="P92" s="69"/>
      <c r="Q92" s="69"/>
      <c r="R92" s="69"/>
      <c r="S92" s="69"/>
      <c r="T92" s="69"/>
      <c r="U92" s="69"/>
      <c r="V92" s="69"/>
      <c r="W92" s="69"/>
      <c r="X92" s="69"/>
      <c r="Y92" s="69"/>
    </row>
    <row r="93" spans="5:42" x14ac:dyDescent="0.35">
      <c r="E93" s="27"/>
      <c r="F93" s="62" t="s">
        <v>252</v>
      </c>
      <c r="G93" s="62" t="s">
        <v>251</v>
      </c>
      <c r="J93" s="69"/>
      <c r="K93" s="69"/>
      <c r="L93" s="69"/>
      <c r="M93" s="69"/>
      <c r="N93" s="243">
        <v>19.069506034530825</v>
      </c>
      <c r="O93" s="69"/>
      <c r="P93" s="69"/>
      <c r="Q93" s="69"/>
      <c r="R93" s="69"/>
      <c r="S93" s="69"/>
      <c r="T93" s="69"/>
      <c r="U93" s="69"/>
      <c r="V93" s="69"/>
      <c r="W93" s="69"/>
      <c r="X93" s="69"/>
      <c r="Y93" s="69"/>
    </row>
    <row r="94" spans="5:42" x14ac:dyDescent="0.35">
      <c r="E94" s="27"/>
      <c r="F94" s="70" t="s">
        <v>253</v>
      </c>
      <c r="G94" s="70" t="s">
        <v>254</v>
      </c>
      <c r="H94" s="28"/>
      <c r="I94" s="28"/>
      <c r="J94" s="71"/>
      <c r="K94" s="71"/>
      <c r="L94" s="71"/>
      <c r="M94" s="71"/>
      <c r="N94" s="245">
        <v>680.31308591615721</v>
      </c>
      <c r="O94" s="71"/>
      <c r="P94" s="71"/>
      <c r="Q94" s="71"/>
      <c r="R94" s="71"/>
      <c r="S94" s="71"/>
      <c r="T94" s="71"/>
      <c r="U94" s="71"/>
      <c r="V94" s="71"/>
      <c r="W94" s="71"/>
      <c r="X94" s="71"/>
      <c r="Y94" s="71"/>
    </row>
    <row r="95" spans="5:42" x14ac:dyDescent="0.35">
      <c r="E95" s="250"/>
      <c r="F95" s="225"/>
      <c r="G95" s="225"/>
      <c r="H95" s="249"/>
      <c r="I95" s="249"/>
      <c r="J95" s="251"/>
      <c r="K95" s="251"/>
      <c r="L95" s="251"/>
      <c r="M95" s="251"/>
      <c r="N95" s="252"/>
      <c r="O95" s="251"/>
      <c r="P95" s="251"/>
      <c r="Q95" s="251"/>
      <c r="R95" s="251"/>
      <c r="S95" s="251"/>
      <c r="T95" s="252"/>
      <c r="U95" s="251"/>
      <c r="V95" s="252"/>
      <c r="W95" s="251"/>
      <c r="X95" s="252"/>
      <c r="Y95" s="251"/>
      <c r="Z95" s="249"/>
      <c r="AA95" s="249"/>
      <c r="AB95" s="249"/>
      <c r="AC95" s="249"/>
      <c r="AD95" s="249"/>
      <c r="AE95" s="249"/>
      <c r="AF95" s="249"/>
      <c r="AG95" s="249"/>
      <c r="AH95" s="249"/>
      <c r="AI95" s="249"/>
      <c r="AJ95" s="249"/>
      <c r="AK95" s="249"/>
      <c r="AL95" s="249"/>
      <c r="AM95" s="249"/>
      <c r="AN95" s="249"/>
      <c r="AO95" s="249"/>
      <c r="AP95" s="249"/>
    </row>
    <row r="96" spans="5:42" x14ac:dyDescent="0.35">
      <c r="E96" s="27" t="s">
        <v>950</v>
      </c>
      <c r="G96" s="12"/>
    </row>
    <row r="97" spans="5:42" x14ac:dyDescent="0.35">
      <c r="E97" s="27"/>
      <c r="F97" s="68" t="s">
        <v>247</v>
      </c>
      <c r="G97" s="68" t="s">
        <v>207</v>
      </c>
      <c r="H97" s="19"/>
      <c r="I97" s="19"/>
      <c r="J97" s="73"/>
      <c r="K97" s="73"/>
      <c r="L97" s="242">
        <v>194.72293419892159</v>
      </c>
      <c r="M97" s="73"/>
      <c r="N97" s="242">
        <v>671.5658704110067</v>
      </c>
      <c r="O97" s="73"/>
      <c r="P97" s="73"/>
      <c r="Q97" s="73"/>
      <c r="R97" s="73"/>
      <c r="S97" s="73"/>
      <c r="T97" s="73"/>
      <c r="U97" s="73"/>
      <c r="V97" s="73"/>
      <c r="W97" s="73"/>
      <c r="X97" s="73"/>
      <c r="Y97" s="73"/>
    </row>
    <row r="98" spans="5:42" x14ac:dyDescent="0.35">
      <c r="E98" s="27"/>
      <c r="F98" s="62" t="s">
        <v>248</v>
      </c>
      <c r="G98" s="62" t="s">
        <v>207</v>
      </c>
      <c r="J98" s="69"/>
      <c r="K98" s="69"/>
      <c r="L98" s="243">
        <v>1223.0287974677808</v>
      </c>
      <c r="M98" s="69"/>
      <c r="N98" s="243">
        <v>3977.6859736521201</v>
      </c>
      <c r="O98" s="69"/>
      <c r="P98" s="69"/>
      <c r="Q98" s="69"/>
      <c r="R98" s="69"/>
      <c r="S98" s="69"/>
      <c r="T98" s="69"/>
      <c r="U98" s="69"/>
      <c r="V98" s="69"/>
      <c r="W98" s="69"/>
      <c r="X98" s="69"/>
      <c r="Y98" s="69"/>
    </row>
    <row r="99" spans="5:42" x14ac:dyDescent="0.35">
      <c r="E99" s="27"/>
      <c r="F99" s="62" t="s">
        <v>249</v>
      </c>
      <c r="G99" s="62" t="s">
        <v>207</v>
      </c>
      <c r="J99" s="69"/>
      <c r="K99" s="69"/>
      <c r="L99" s="243">
        <v>569.93253118329801</v>
      </c>
      <c r="M99" s="69"/>
      <c r="N99" s="243">
        <v>2267.2492949607877</v>
      </c>
      <c r="O99" s="69"/>
      <c r="P99" s="69"/>
      <c r="Q99" s="69"/>
      <c r="R99" s="69"/>
      <c r="S99" s="69"/>
      <c r="T99" s="69"/>
      <c r="U99" s="69"/>
      <c r="V99" s="69"/>
      <c r="W99" s="69"/>
      <c r="X99" s="69"/>
      <c r="Y99" s="69"/>
    </row>
    <row r="100" spans="5:42" x14ac:dyDescent="0.35">
      <c r="E100" s="27"/>
      <c r="F100" s="62" t="s">
        <v>212</v>
      </c>
      <c r="G100" s="62" t="s">
        <v>212</v>
      </c>
      <c r="J100" s="69"/>
      <c r="K100" s="69"/>
      <c r="L100" s="243">
        <v>211.60927926449529</v>
      </c>
      <c r="M100" s="69"/>
      <c r="N100" s="243">
        <v>76.458262405311061</v>
      </c>
      <c r="O100" s="69"/>
      <c r="P100" s="69"/>
      <c r="Q100" s="69"/>
      <c r="R100" s="69"/>
      <c r="S100" s="69"/>
      <c r="T100" s="69"/>
      <c r="U100" s="69"/>
      <c r="V100" s="69"/>
      <c r="W100" s="69"/>
      <c r="X100" s="69"/>
      <c r="Y100" s="69"/>
    </row>
    <row r="101" spans="5:42" x14ac:dyDescent="0.35">
      <c r="E101" s="27"/>
      <c r="F101" s="62" t="s">
        <v>250</v>
      </c>
      <c r="G101" s="62" t="s">
        <v>251</v>
      </c>
      <c r="J101" s="69"/>
      <c r="K101" s="69"/>
      <c r="L101" s="69"/>
      <c r="M101" s="69"/>
      <c r="N101" s="243">
        <v>14806.206127328769</v>
      </c>
      <c r="O101" s="69"/>
      <c r="P101" s="69"/>
      <c r="Q101" s="69"/>
      <c r="R101" s="69"/>
      <c r="S101" s="69"/>
      <c r="T101" s="69"/>
      <c r="U101" s="69"/>
      <c r="V101" s="69"/>
      <c r="W101" s="69"/>
      <c r="X101" s="69"/>
      <c r="Y101" s="69"/>
    </row>
    <row r="102" spans="5:42" x14ac:dyDescent="0.35">
      <c r="E102" s="27"/>
      <c r="F102" s="62" t="s">
        <v>252</v>
      </c>
      <c r="G102" s="62" t="s">
        <v>251</v>
      </c>
      <c r="J102" s="69"/>
      <c r="K102" s="69"/>
      <c r="L102" s="69"/>
      <c r="M102" s="69"/>
      <c r="N102" s="243">
        <v>32.110413543561052</v>
      </c>
      <c r="O102" s="69"/>
      <c r="P102" s="69"/>
      <c r="Q102" s="69"/>
      <c r="R102" s="69"/>
      <c r="S102" s="69"/>
      <c r="T102" s="69"/>
      <c r="U102" s="69"/>
      <c r="V102" s="69"/>
      <c r="W102" s="69"/>
      <c r="X102" s="69"/>
      <c r="Y102" s="69"/>
    </row>
    <row r="103" spans="5:42" x14ac:dyDescent="0.35">
      <c r="E103" s="27"/>
      <c r="F103" s="70" t="s">
        <v>253</v>
      </c>
      <c r="G103" s="70" t="s">
        <v>254</v>
      </c>
      <c r="H103" s="28"/>
      <c r="I103" s="28"/>
      <c r="J103" s="71"/>
      <c r="K103" s="71"/>
      <c r="L103" s="71"/>
      <c r="M103" s="71"/>
      <c r="N103" s="245">
        <v>1145.5532454960862</v>
      </c>
      <c r="O103" s="71"/>
      <c r="P103" s="71"/>
      <c r="Q103" s="71"/>
      <c r="R103" s="71"/>
      <c r="S103" s="71"/>
      <c r="T103" s="71"/>
      <c r="U103" s="71"/>
      <c r="V103" s="71"/>
      <c r="W103" s="71"/>
      <c r="X103" s="71"/>
      <c r="Y103" s="71"/>
    </row>
    <row r="104" spans="5:42" x14ac:dyDescent="0.35">
      <c r="E104" s="250"/>
      <c r="F104" s="225"/>
      <c r="G104" s="225"/>
      <c r="H104" s="249"/>
      <c r="I104" s="249"/>
      <c r="J104" s="251"/>
      <c r="K104" s="251"/>
      <c r="L104" s="251"/>
      <c r="M104" s="251"/>
      <c r="N104" s="252"/>
      <c r="O104" s="251"/>
      <c r="P104" s="251"/>
      <c r="Q104" s="251"/>
      <c r="R104" s="251"/>
      <c r="S104" s="251"/>
      <c r="T104" s="252"/>
      <c r="U104" s="251"/>
      <c r="V104" s="252"/>
      <c r="W104" s="251"/>
      <c r="X104" s="252"/>
      <c r="Y104" s="251"/>
      <c r="Z104" s="249"/>
      <c r="AA104" s="249"/>
      <c r="AB104" s="249"/>
      <c r="AC104" s="249"/>
      <c r="AD104" s="249"/>
      <c r="AE104" s="249"/>
      <c r="AF104" s="249"/>
      <c r="AG104" s="249"/>
      <c r="AH104" s="249"/>
      <c r="AI104" s="249"/>
      <c r="AJ104" s="249"/>
      <c r="AK104" s="249"/>
      <c r="AL104" s="249"/>
      <c r="AM104" s="249"/>
      <c r="AN104" s="249"/>
      <c r="AO104" s="249"/>
      <c r="AP104" s="249"/>
    </row>
    <row r="105" spans="5:42" x14ac:dyDescent="0.35">
      <c r="E105" s="27" t="s">
        <v>951</v>
      </c>
      <c r="G105" s="12"/>
    </row>
    <row r="106" spans="5:42" x14ac:dyDescent="0.35">
      <c r="E106" s="27"/>
      <c r="F106" s="68" t="s">
        <v>247</v>
      </c>
      <c r="G106" s="68" t="s">
        <v>207</v>
      </c>
      <c r="H106" s="19"/>
      <c r="I106" s="19"/>
      <c r="J106" s="73"/>
      <c r="K106" s="73"/>
      <c r="L106" s="242">
        <v>209.17822654181128</v>
      </c>
      <c r="M106" s="73"/>
      <c r="N106" s="242">
        <v>372.17815978626317</v>
      </c>
      <c r="O106" s="73"/>
      <c r="P106" s="73"/>
      <c r="Q106" s="73"/>
      <c r="R106" s="73"/>
      <c r="S106" s="73"/>
      <c r="T106" s="73"/>
      <c r="U106" s="73"/>
      <c r="V106" s="73"/>
      <c r="W106" s="73"/>
      <c r="X106" s="73"/>
      <c r="Y106" s="73"/>
    </row>
    <row r="107" spans="5:42" x14ac:dyDescent="0.35">
      <c r="E107" s="27"/>
      <c r="F107" s="62" t="s">
        <v>248</v>
      </c>
      <c r="G107" s="62" t="s">
        <v>207</v>
      </c>
      <c r="J107" s="69"/>
      <c r="K107" s="69"/>
      <c r="L107" s="243">
        <v>1313.8205621045499</v>
      </c>
      <c r="M107" s="69"/>
      <c r="N107" s="243">
        <v>2204.4119737285764</v>
      </c>
      <c r="O107" s="69"/>
      <c r="P107" s="69"/>
      <c r="Q107" s="69"/>
      <c r="R107" s="69"/>
      <c r="S107" s="69"/>
      <c r="T107" s="69"/>
      <c r="U107" s="69"/>
      <c r="V107" s="69"/>
      <c r="W107" s="69"/>
      <c r="X107" s="69"/>
      <c r="Y107" s="69"/>
    </row>
    <row r="108" spans="5:42" x14ac:dyDescent="0.35">
      <c r="E108" s="27"/>
      <c r="F108" s="62" t="s">
        <v>249</v>
      </c>
      <c r="G108" s="62" t="s">
        <v>207</v>
      </c>
      <c r="J108" s="69"/>
      <c r="K108" s="69"/>
      <c r="L108" s="243">
        <v>612.24157602113667</v>
      </c>
      <c r="M108" s="69"/>
      <c r="N108" s="243">
        <v>1256.4972515038321</v>
      </c>
      <c r="O108" s="69"/>
      <c r="P108" s="69"/>
      <c r="Q108" s="69"/>
      <c r="R108" s="69"/>
      <c r="S108" s="69"/>
      <c r="T108" s="69"/>
      <c r="U108" s="69"/>
      <c r="V108" s="69"/>
      <c r="W108" s="69"/>
      <c r="X108" s="69"/>
      <c r="Y108" s="69"/>
    </row>
    <row r="109" spans="5:42" x14ac:dyDescent="0.35">
      <c r="E109" s="27"/>
      <c r="F109" s="62" t="s">
        <v>212</v>
      </c>
      <c r="G109" s="62" t="s">
        <v>212</v>
      </c>
      <c r="J109" s="69"/>
      <c r="K109" s="69"/>
      <c r="L109" s="243">
        <v>75.827915288827512</v>
      </c>
      <c r="M109" s="69"/>
      <c r="N109" s="243">
        <v>32.483921503957795</v>
      </c>
      <c r="O109" s="69"/>
      <c r="P109" s="69"/>
      <c r="Q109" s="69"/>
      <c r="R109" s="69"/>
      <c r="S109" s="69"/>
      <c r="T109" s="69"/>
      <c r="U109" s="69"/>
      <c r="V109" s="69"/>
      <c r="W109" s="69"/>
      <c r="X109" s="69"/>
      <c r="Y109" s="69"/>
    </row>
    <row r="110" spans="5:42" x14ac:dyDescent="0.35">
      <c r="E110" s="27"/>
      <c r="F110" s="62" t="s">
        <v>250</v>
      </c>
      <c r="G110" s="62" t="s">
        <v>251</v>
      </c>
      <c r="J110" s="69"/>
      <c r="K110" s="69"/>
      <c r="L110" s="69"/>
      <c r="M110" s="69"/>
      <c r="N110" s="243">
        <v>8205.519060271472</v>
      </c>
      <c r="O110" s="69"/>
      <c r="P110" s="69"/>
      <c r="Q110" s="69"/>
      <c r="R110" s="69"/>
      <c r="S110" s="69"/>
      <c r="T110" s="69"/>
      <c r="U110" s="69"/>
      <c r="V110" s="69"/>
      <c r="W110" s="69"/>
      <c r="X110" s="69"/>
      <c r="Y110" s="69"/>
    </row>
    <row r="111" spans="5:42" x14ac:dyDescent="0.35">
      <c r="E111" s="27"/>
      <c r="F111" s="62" t="s">
        <v>252</v>
      </c>
      <c r="G111" s="62" t="s">
        <v>251</v>
      </c>
      <c r="J111" s="69"/>
      <c r="K111" s="69"/>
      <c r="L111" s="69"/>
      <c r="M111" s="69"/>
      <c r="N111" s="243">
        <v>17.795416874452567</v>
      </c>
      <c r="O111" s="69"/>
      <c r="P111" s="69"/>
      <c r="Q111" s="69"/>
      <c r="R111" s="69"/>
      <c r="S111" s="69"/>
      <c r="T111" s="69"/>
      <c r="U111" s="69"/>
      <c r="V111" s="69"/>
      <c r="W111" s="69"/>
      <c r="X111" s="69"/>
      <c r="Y111" s="69"/>
    </row>
    <row r="112" spans="5:42" x14ac:dyDescent="0.35">
      <c r="E112" s="27"/>
      <c r="F112" s="70" t="s">
        <v>253</v>
      </c>
      <c r="G112" s="70" t="s">
        <v>254</v>
      </c>
      <c r="H112" s="28"/>
      <c r="I112" s="28"/>
      <c r="J112" s="71"/>
      <c r="K112" s="71"/>
      <c r="L112" s="71"/>
      <c r="M112" s="71"/>
      <c r="N112" s="245">
        <v>634.85939001781514</v>
      </c>
      <c r="O112" s="71"/>
      <c r="P112" s="71"/>
      <c r="Q112" s="71"/>
      <c r="R112" s="71"/>
      <c r="S112" s="71"/>
      <c r="T112" s="71"/>
      <c r="U112" s="71"/>
      <c r="V112" s="71"/>
      <c r="W112" s="71"/>
      <c r="X112" s="71"/>
      <c r="Y112" s="71"/>
    </row>
    <row r="113" spans="4:43" x14ac:dyDescent="0.35">
      <c r="E113" s="250"/>
      <c r="F113" s="225"/>
      <c r="G113" s="225"/>
      <c r="H113" s="249"/>
      <c r="I113" s="249"/>
      <c r="J113" s="251"/>
      <c r="K113" s="251"/>
      <c r="L113" s="251"/>
      <c r="M113" s="251"/>
      <c r="N113" s="252"/>
      <c r="O113" s="252"/>
      <c r="P113" s="252"/>
      <c r="Q113" s="251"/>
      <c r="R113" s="251"/>
      <c r="S113" s="251"/>
      <c r="T113" s="252"/>
      <c r="U113" s="251"/>
      <c r="V113" s="252"/>
      <c r="W113" s="251"/>
      <c r="X113" s="252"/>
      <c r="Y113" s="251"/>
      <c r="Z113" s="249"/>
      <c r="AA113" s="249"/>
      <c r="AB113" s="249"/>
      <c r="AC113" s="249"/>
      <c r="AD113" s="249"/>
      <c r="AE113" s="249"/>
      <c r="AF113" s="249"/>
      <c r="AG113" s="249"/>
      <c r="AH113" s="249"/>
      <c r="AI113" s="249"/>
      <c r="AJ113" s="249"/>
      <c r="AK113" s="249"/>
      <c r="AL113" s="249"/>
      <c r="AM113" s="249"/>
      <c r="AN113" s="249"/>
      <c r="AO113" s="249"/>
      <c r="AP113" s="249"/>
    </row>
    <row r="114" spans="4:43" x14ac:dyDescent="0.35">
      <c r="D114" s="24" t="s">
        <v>958</v>
      </c>
      <c r="G114" s="12"/>
      <c r="I114" t="s">
        <v>154</v>
      </c>
      <c r="AQ114" t="s">
        <v>246</v>
      </c>
    </row>
    <row r="115" spans="4:43" x14ac:dyDescent="0.35">
      <c r="G115" s="12"/>
    </row>
    <row r="116" spans="4:43" x14ac:dyDescent="0.35">
      <c r="E116" s="27" t="s">
        <v>906</v>
      </c>
      <c r="G116" s="12"/>
    </row>
    <row r="117" spans="4:43" x14ac:dyDescent="0.35">
      <c r="E117" s="27"/>
      <c r="F117" s="68" t="s">
        <v>247</v>
      </c>
      <c r="G117" s="68" t="s">
        <v>207</v>
      </c>
      <c r="H117" s="19"/>
      <c r="I117" s="19"/>
      <c r="J117" s="73"/>
      <c r="K117" s="242">
        <v>129.02316403377972</v>
      </c>
      <c r="L117" s="242">
        <v>560.65757017340411</v>
      </c>
      <c r="M117" s="242">
        <v>28.165165011299294</v>
      </c>
      <c r="N117" s="242">
        <v>0</v>
      </c>
      <c r="O117" s="242">
        <v>0</v>
      </c>
      <c r="P117" s="242">
        <v>0</v>
      </c>
      <c r="Q117" s="73"/>
      <c r="R117" s="242">
        <v>0.13300000000000001</v>
      </c>
      <c r="S117" s="242">
        <v>15.433999999999999</v>
      </c>
      <c r="T117" s="242">
        <v>1327.0888980075765</v>
      </c>
      <c r="U117" s="73"/>
      <c r="V117" s="242">
        <v>0</v>
      </c>
      <c r="W117" s="73"/>
      <c r="X117" s="242">
        <v>26.351155247183883</v>
      </c>
      <c r="Y117" s="73"/>
    </row>
    <row r="118" spans="4:43" x14ac:dyDescent="0.35">
      <c r="E118" s="27"/>
      <c r="F118" s="62" t="s">
        <v>248</v>
      </c>
      <c r="G118" s="62" t="s">
        <v>207</v>
      </c>
      <c r="J118" s="69"/>
      <c r="K118" s="243">
        <v>623.84978064236452</v>
      </c>
      <c r="L118" s="243">
        <v>3535.13682889043</v>
      </c>
      <c r="M118" s="243">
        <v>171.31576560045573</v>
      </c>
      <c r="N118" s="243">
        <v>0</v>
      </c>
      <c r="O118" s="243">
        <v>0</v>
      </c>
      <c r="P118" s="243">
        <v>0</v>
      </c>
      <c r="Q118" s="69"/>
      <c r="R118" s="244">
        <v>7.3179999999999996</v>
      </c>
      <c r="S118" s="244">
        <v>1.6240000000000001</v>
      </c>
      <c r="T118" s="243">
        <v>5782.7279852995352</v>
      </c>
      <c r="U118" s="69"/>
      <c r="V118" s="243">
        <v>0</v>
      </c>
      <c r="W118" s="69"/>
      <c r="X118" s="243">
        <v>165.84055989272863</v>
      </c>
      <c r="Y118" s="69"/>
    </row>
    <row r="119" spans="4:43" x14ac:dyDescent="0.35">
      <c r="E119" s="27"/>
      <c r="F119" s="62" t="s">
        <v>249</v>
      </c>
      <c r="G119" s="62" t="s">
        <v>207</v>
      </c>
      <c r="J119" s="69"/>
      <c r="K119" s="243">
        <v>584.25146271471135</v>
      </c>
      <c r="L119" s="243">
        <v>1578.2983614029965</v>
      </c>
      <c r="M119" s="243">
        <v>85.551810528986309</v>
      </c>
      <c r="N119" s="243">
        <v>0</v>
      </c>
      <c r="O119" s="243">
        <v>0</v>
      </c>
      <c r="P119" s="243">
        <v>0</v>
      </c>
      <c r="Q119" s="69"/>
      <c r="R119" s="244">
        <v>0.28999999999999998</v>
      </c>
      <c r="S119" s="244">
        <v>0</v>
      </c>
      <c r="T119" s="243">
        <v>2767.2356585674361</v>
      </c>
      <c r="U119" s="69"/>
      <c r="V119" s="243">
        <v>0</v>
      </c>
      <c r="W119" s="69"/>
      <c r="X119" s="243">
        <v>72.935642648769161</v>
      </c>
      <c r="Y119" s="69"/>
    </row>
    <row r="120" spans="4:43" x14ac:dyDescent="0.35">
      <c r="E120" s="27"/>
      <c r="F120" s="62" t="s">
        <v>212</v>
      </c>
      <c r="G120" s="62" t="s">
        <v>212</v>
      </c>
      <c r="J120" s="69"/>
      <c r="K120" s="243">
        <v>533.5</v>
      </c>
      <c r="L120" s="243">
        <v>0</v>
      </c>
      <c r="M120" s="243">
        <v>0</v>
      </c>
      <c r="N120" s="243">
        <v>0</v>
      </c>
      <c r="O120" s="243">
        <v>0</v>
      </c>
      <c r="P120" s="243">
        <v>0</v>
      </c>
      <c r="Q120" s="69"/>
      <c r="R120" s="243">
        <v>1</v>
      </c>
      <c r="S120" s="243">
        <v>1</v>
      </c>
      <c r="T120" s="243">
        <v>0</v>
      </c>
      <c r="U120" s="69"/>
      <c r="V120" s="243">
        <v>0</v>
      </c>
      <c r="W120" s="69"/>
      <c r="X120" s="243">
        <v>0</v>
      </c>
      <c r="Y120" s="69"/>
    </row>
    <row r="121" spans="4:43" x14ac:dyDescent="0.35">
      <c r="E121" s="27"/>
      <c r="F121" s="62" t="s">
        <v>250</v>
      </c>
      <c r="G121" s="62" t="s">
        <v>251</v>
      </c>
      <c r="J121" s="69"/>
      <c r="K121" s="69"/>
      <c r="L121" s="69"/>
      <c r="M121" s="69"/>
      <c r="N121" s="243">
        <v>0</v>
      </c>
      <c r="O121" s="243">
        <v>0</v>
      </c>
      <c r="P121" s="243">
        <v>20.717105552650363</v>
      </c>
      <c r="Q121" s="69"/>
      <c r="R121" s="69"/>
      <c r="S121" s="69"/>
      <c r="T121" s="69"/>
      <c r="U121" s="69"/>
      <c r="V121" s="69"/>
      <c r="W121" s="69"/>
      <c r="X121" s="69"/>
      <c r="Y121" s="69"/>
    </row>
    <row r="122" spans="4:43" x14ac:dyDescent="0.35">
      <c r="E122" s="27"/>
      <c r="F122" s="62" t="s">
        <v>252</v>
      </c>
      <c r="G122" s="62" t="s">
        <v>251</v>
      </c>
      <c r="J122" s="69"/>
      <c r="K122" s="69"/>
      <c r="L122" s="69"/>
      <c r="M122" s="69"/>
      <c r="N122" s="243">
        <v>0</v>
      </c>
      <c r="O122" s="243">
        <v>0</v>
      </c>
      <c r="P122" s="243">
        <v>0.47397580309993154</v>
      </c>
      <c r="Q122" s="69"/>
      <c r="R122" s="69"/>
      <c r="S122" s="69"/>
      <c r="T122" s="69"/>
      <c r="U122" s="69"/>
      <c r="V122" s="69"/>
      <c r="W122" s="69"/>
      <c r="X122" s="69"/>
      <c r="Y122" s="69"/>
    </row>
    <row r="123" spans="4:43" x14ac:dyDescent="0.35">
      <c r="E123" s="27"/>
      <c r="F123" s="70" t="s">
        <v>253</v>
      </c>
      <c r="G123" s="70" t="s">
        <v>254</v>
      </c>
      <c r="H123" s="28"/>
      <c r="I123" s="28"/>
      <c r="J123" s="71"/>
      <c r="K123" s="71"/>
      <c r="L123" s="71"/>
      <c r="M123" s="71"/>
      <c r="N123" s="245">
        <v>0</v>
      </c>
      <c r="O123" s="245">
        <v>0</v>
      </c>
      <c r="P123" s="245">
        <v>0</v>
      </c>
      <c r="Q123" s="71"/>
      <c r="R123" s="71"/>
      <c r="S123" s="71"/>
      <c r="T123" s="245">
        <v>0</v>
      </c>
      <c r="U123" s="71"/>
      <c r="V123" s="245">
        <v>0</v>
      </c>
      <c r="W123" s="71"/>
      <c r="X123" s="245">
        <v>0</v>
      </c>
      <c r="Y123" s="71"/>
    </row>
    <row r="124" spans="4:43" x14ac:dyDescent="0.35">
      <c r="E124" s="250"/>
      <c r="F124" s="225"/>
      <c r="G124" s="225"/>
      <c r="H124" s="249"/>
      <c r="I124" s="249"/>
      <c r="J124" s="251"/>
      <c r="K124" s="251"/>
      <c r="L124" s="251"/>
      <c r="M124" s="251"/>
      <c r="N124" s="252"/>
      <c r="O124" s="252"/>
      <c r="P124" s="252"/>
      <c r="Q124" s="251"/>
      <c r="R124" s="251"/>
      <c r="S124" s="251"/>
      <c r="T124" s="252"/>
      <c r="U124" s="251"/>
      <c r="V124" s="252"/>
      <c r="W124" s="251"/>
      <c r="X124" s="252"/>
      <c r="Y124" s="251"/>
      <c r="Z124" s="249"/>
      <c r="AA124" s="249"/>
      <c r="AB124" s="249"/>
      <c r="AC124" s="249"/>
      <c r="AD124" s="249"/>
      <c r="AE124" s="249"/>
      <c r="AF124" s="249"/>
      <c r="AG124" s="249"/>
      <c r="AH124" s="249"/>
      <c r="AI124" s="249"/>
      <c r="AJ124" s="249"/>
      <c r="AK124" s="249"/>
      <c r="AL124" s="249"/>
      <c r="AM124" s="249"/>
      <c r="AN124" s="249"/>
      <c r="AO124" s="249"/>
      <c r="AP124" s="249"/>
    </row>
    <row r="125" spans="4:43" x14ac:dyDescent="0.35">
      <c r="E125" s="27" t="s">
        <v>952</v>
      </c>
      <c r="G125" s="12"/>
    </row>
    <row r="126" spans="4:43" x14ac:dyDescent="0.35">
      <c r="E126" s="27"/>
      <c r="F126" s="68" t="s">
        <v>247</v>
      </c>
      <c r="G126" s="68" t="s">
        <v>207</v>
      </c>
      <c r="H126" s="19"/>
      <c r="I126" s="19"/>
      <c r="J126" s="242">
        <v>25936.063443617171</v>
      </c>
      <c r="K126" s="73"/>
      <c r="L126" s="242">
        <v>323.96872396016852</v>
      </c>
      <c r="M126" s="73"/>
      <c r="N126" s="242">
        <v>2008.6163210234347</v>
      </c>
      <c r="O126" s="242">
        <v>1139.0228522073685</v>
      </c>
      <c r="P126" s="242">
        <v>430.548447011615</v>
      </c>
      <c r="Q126" s="242">
        <v>125.108</v>
      </c>
      <c r="R126" s="73"/>
      <c r="S126" s="73"/>
      <c r="T126" s="73"/>
      <c r="U126" s="73"/>
      <c r="V126" s="73"/>
      <c r="W126" s="73"/>
      <c r="X126" s="73"/>
      <c r="Y126" s="73"/>
    </row>
    <row r="127" spans="4:43" x14ac:dyDescent="0.35">
      <c r="E127" s="27"/>
      <c r="F127" s="62" t="s">
        <v>248</v>
      </c>
      <c r="G127" s="62" t="s">
        <v>207</v>
      </c>
      <c r="J127" s="243">
        <v>113627.71327885594</v>
      </c>
      <c r="K127" s="69"/>
      <c r="L127" s="243">
        <v>2042.7330841640305</v>
      </c>
      <c r="M127" s="316"/>
      <c r="N127" s="243">
        <v>10857.101309435961</v>
      </c>
      <c r="O127" s="243">
        <v>6416.7182911428245</v>
      </c>
      <c r="P127" s="243">
        <v>2489.3693714466945</v>
      </c>
      <c r="Q127" s="244">
        <v>779.30099999999982</v>
      </c>
      <c r="R127" s="69"/>
      <c r="S127" s="69"/>
      <c r="T127" s="69"/>
      <c r="U127" s="69"/>
      <c r="V127" s="69"/>
      <c r="W127" s="69"/>
      <c r="X127" s="69"/>
      <c r="Y127" s="69"/>
    </row>
    <row r="128" spans="4:43" x14ac:dyDescent="0.35">
      <c r="E128" s="27"/>
      <c r="F128" s="62" t="s">
        <v>249</v>
      </c>
      <c r="G128" s="62" t="s">
        <v>207</v>
      </c>
      <c r="J128" s="243">
        <v>55546.777639504362</v>
      </c>
      <c r="K128" s="69"/>
      <c r="L128" s="243">
        <v>911.99929042964527</v>
      </c>
      <c r="M128" s="316"/>
      <c r="N128" s="243">
        <v>6116.8697877032973</v>
      </c>
      <c r="O128" s="243">
        <v>3318.7093916347462</v>
      </c>
      <c r="P128" s="243">
        <v>1657.8847626627041</v>
      </c>
      <c r="Q128" s="244">
        <v>406.67899999999997</v>
      </c>
      <c r="R128" s="69"/>
      <c r="S128" s="69"/>
      <c r="T128" s="69"/>
      <c r="U128" s="69"/>
      <c r="V128" s="69"/>
      <c r="W128" s="69"/>
      <c r="X128" s="69"/>
      <c r="Y128" s="69"/>
    </row>
    <row r="129" spans="5:42" x14ac:dyDescent="0.35">
      <c r="E129" s="27"/>
      <c r="F129" s="62" t="s">
        <v>212</v>
      </c>
      <c r="G129" s="62" t="s">
        <v>212</v>
      </c>
      <c r="J129" s="243">
        <v>128781.76565790082</v>
      </c>
      <c r="K129" s="69"/>
      <c r="L129" s="243">
        <v>1478.6028145081389</v>
      </c>
      <c r="M129" s="316"/>
      <c r="N129" s="243">
        <v>160.50739720917898</v>
      </c>
      <c r="O129" s="243">
        <v>24.77710843373492</v>
      </c>
      <c r="P129" s="243">
        <v>6</v>
      </c>
      <c r="Q129" s="243">
        <v>266.64516129032251</v>
      </c>
      <c r="R129" s="69"/>
      <c r="S129" s="69"/>
      <c r="T129" s="69"/>
      <c r="U129" s="69"/>
      <c r="V129" s="69"/>
      <c r="W129" s="69"/>
      <c r="X129" s="69"/>
      <c r="Y129" s="69"/>
    </row>
    <row r="130" spans="5:42" x14ac:dyDescent="0.35">
      <c r="E130" s="27"/>
      <c r="F130" s="62" t="s">
        <v>250</v>
      </c>
      <c r="G130" s="62" t="s">
        <v>251</v>
      </c>
      <c r="J130" s="69"/>
      <c r="K130" s="69"/>
      <c r="L130" s="69"/>
      <c r="M130" s="316"/>
      <c r="N130" s="243">
        <v>25508.492416213801</v>
      </c>
      <c r="O130" s="243">
        <v>138.65302444102156</v>
      </c>
      <c r="P130" s="243">
        <v>1275.6485452551874</v>
      </c>
      <c r="Q130" s="69"/>
      <c r="R130" s="69"/>
      <c r="S130" s="69"/>
      <c r="T130" s="69"/>
      <c r="U130" s="69"/>
      <c r="V130" s="69"/>
      <c r="W130" s="69"/>
      <c r="X130" s="69"/>
      <c r="Y130" s="69"/>
    </row>
    <row r="131" spans="5:42" x14ac:dyDescent="0.35">
      <c r="E131" s="27"/>
      <c r="F131" s="62" t="s">
        <v>252</v>
      </c>
      <c r="G131" s="62" t="s">
        <v>251</v>
      </c>
      <c r="J131" s="69"/>
      <c r="K131" s="69"/>
      <c r="L131" s="69"/>
      <c r="M131" s="316"/>
      <c r="N131" s="243">
        <v>44.142137349103145</v>
      </c>
      <c r="O131" s="243">
        <v>0</v>
      </c>
      <c r="P131" s="243">
        <v>29.184894683960149</v>
      </c>
      <c r="Q131" s="69"/>
      <c r="R131" s="69"/>
      <c r="S131" s="69"/>
      <c r="T131" s="69"/>
      <c r="U131" s="69"/>
      <c r="V131" s="69"/>
      <c r="W131" s="69"/>
      <c r="X131" s="69"/>
      <c r="Y131" s="69"/>
    </row>
    <row r="132" spans="5:42" x14ac:dyDescent="0.35">
      <c r="E132" s="27"/>
      <c r="F132" s="70" t="s">
        <v>253</v>
      </c>
      <c r="G132" s="70" t="s">
        <v>254</v>
      </c>
      <c r="H132" s="28"/>
      <c r="I132" s="28"/>
      <c r="J132" s="71"/>
      <c r="K132" s="71"/>
      <c r="L132" s="71"/>
      <c r="M132" s="71"/>
      <c r="N132" s="245">
        <v>2035.2073343001964</v>
      </c>
      <c r="O132" s="245">
        <v>1570.8731092170815</v>
      </c>
      <c r="P132" s="245">
        <v>85.790146563597943</v>
      </c>
      <c r="Q132" s="71"/>
      <c r="R132" s="71"/>
      <c r="S132" s="71"/>
      <c r="T132" s="71"/>
      <c r="U132" s="71"/>
      <c r="V132" s="71"/>
      <c r="W132" s="71"/>
      <c r="X132" s="71"/>
      <c r="Y132" s="71"/>
    </row>
    <row r="133" spans="5:42" x14ac:dyDescent="0.35">
      <c r="E133" s="250"/>
      <c r="F133" s="225"/>
      <c r="G133" s="225"/>
      <c r="H133" s="249"/>
      <c r="I133" s="249"/>
      <c r="J133" s="251"/>
      <c r="K133" s="251"/>
      <c r="L133" s="251"/>
      <c r="M133" s="251"/>
      <c r="N133" s="252"/>
      <c r="O133" s="252"/>
      <c r="P133" s="252"/>
      <c r="Q133" s="251"/>
      <c r="R133" s="251"/>
      <c r="S133" s="251"/>
      <c r="T133" s="252"/>
      <c r="U133" s="251"/>
      <c r="V133" s="252"/>
      <c r="W133" s="251"/>
      <c r="X133" s="252"/>
      <c r="Y133" s="251"/>
      <c r="Z133" s="249"/>
      <c r="AA133" s="249"/>
      <c r="AB133" s="249"/>
      <c r="AC133" s="249"/>
      <c r="AD133" s="249"/>
      <c r="AE133" s="249"/>
      <c r="AF133" s="249"/>
      <c r="AG133" s="249"/>
      <c r="AH133" s="249"/>
      <c r="AI133" s="249"/>
      <c r="AJ133" s="249"/>
      <c r="AK133" s="249"/>
      <c r="AL133" s="249"/>
      <c r="AM133" s="249"/>
      <c r="AN133" s="249"/>
      <c r="AO133" s="249"/>
      <c r="AP133" s="249"/>
    </row>
    <row r="134" spans="5:42" x14ac:dyDescent="0.35">
      <c r="E134" s="27" t="s">
        <v>953</v>
      </c>
      <c r="G134" s="12"/>
    </row>
    <row r="135" spans="5:42" x14ac:dyDescent="0.35">
      <c r="E135" s="27"/>
      <c r="F135" s="68" t="s">
        <v>247</v>
      </c>
      <c r="G135" s="68" t="s">
        <v>207</v>
      </c>
      <c r="H135" s="19"/>
      <c r="I135" s="19"/>
      <c r="J135" s="73"/>
      <c r="K135" s="73"/>
      <c r="L135" s="242">
        <v>718.45912061290528</v>
      </c>
      <c r="M135" s="73"/>
      <c r="N135" s="242">
        <v>2585.6824116106486</v>
      </c>
      <c r="O135" s="242">
        <v>8.043368109058223</v>
      </c>
      <c r="P135" s="242">
        <v>815.44886893662465</v>
      </c>
      <c r="Q135" s="73"/>
      <c r="R135" s="73"/>
      <c r="S135" s="73"/>
      <c r="T135" s="73"/>
      <c r="U135" s="73"/>
      <c r="V135" s="73"/>
      <c r="W135" s="73"/>
      <c r="X135" s="73"/>
      <c r="Y135" s="73"/>
    </row>
    <row r="136" spans="5:42" x14ac:dyDescent="0.35">
      <c r="E136" s="27"/>
      <c r="F136" s="62" t="s">
        <v>248</v>
      </c>
      <c r="G136" s="62" t="s">
        <v>207</v>
      </c>
      <c r="J136" s="69"/>
      <c r="K136" s="69"/>
      <c r="L136" s="325">
        <v>4530.1293203717378</v>
      </c>
      <c r="M136" s="69"/>
      <c r="N136" s="243">
        <v>13976.29582267841</v>
      </c>
      <c r="O136" s="243">
        <v>45.31254765237351</v>
      </c>
      <c r="P136" s="243">
        <v>4714.8084086735098</v>
      </c>
      <c r="Q136" s="69"/>
      <c r="R136" s="69"/>
      <c r="S136" s="69"/>
      <c r="T136" s="69"/>
      <c r="U136" s="69"/>
      <c r="V136" s="69"/>
      <c r="W136" s="69"/>
      <c r="X136" s="69"/>
      <c r="Y136" s="69"/>
    </row>
    <row r="137" spans="5:42" x14ac:dyDescent="0.35">
      <c r="E137" s="27"/>
      <c r="F137" s="62" t="s">
        <v>249</v>
      </c>
      <c r="G137" s="62" t="s">
        <v>207</v>
      </c>
      <c r="J137" s="69"/>
      <c r="K137" s="69"/>
      <c r="L137" s="325">
        <v>2022.5230392370736</v>
      </c>
      <c r="M137" s="69"/>
      <c r="N137" s="243">
        <v>7874.2179173961067</v>
      </c>
      <c r="O137" s="243">
        <v>23.43552741911726</v>
      </c>
      <c r="P137" s="243">
        <v>3139.9956588488067</v>
      </c>
      <c r="Q137" s="69"/>
      <c r="R137" s="69"/>
      <c r="S137" s="69"/>
      <c r="T137" s="69"/>
      <c r="U137" s="69"/>
      <c r="V137" s="69"/>
      <c r="W137" s="69"/>
      <c r="X137" s="69"/>
      <c r="Y137" s="69"/>
    </row>
    <row r="138" spans="5:42" x14ac:dyDescent="0.35">
      <c r="E138" s="27"/>
      <c r="F138" s="62" t="s">
        <v>212</v>
      </c>
      <c r="G138" s="62" t="s">
        <v>212</v>
      </c>
      <c r="J138" s="69"/>
      <c r="K138" s="69"/>
      <c r="L138" s="243">
        <v>562.97530003298323</v>
      </c>
      <c r="M138" s="69"/>
      <c r="N138" s="243">
        <v>313.06218249675658</v>
      </c>
      <c r="O138" s="243">
        <v>1.5485692771084325</v>
      </c>
      <c r="P138" s="243">
        <v>6</v>
      </c>
      <c r="Q138" s="69"/>
      <c r="R138" s="69"/>
      <c r="S138" s="69"/>
      <c r="T138" s="69"/>
      <c r="U138" s="69"/>
      <c r="V138" s="69"/>
      <c r="W138" s="69"/>
      <c r="X138" s="69"/>
      <c r="Y138" s="69"/>
    </row>
    <row r="139" spans="5:42" x14ac:dyDescent="0.35">
      <c r="E139" s="27"/>
      <c r="F139" s="62" t="s">
        <v>250</v>
      </c>
      <c r="G139" s="62" t="s">
        <v>251</v>
      </c>
      <c r="J139" s="69"/>
      <c r="K139" s="69"/>
      <c r="L139" s="69"/>
      <c r="M139" s="69"/>
      <c r="N139" s="243">
        <v>32836.96318553319</v>
      </c>
      <c r="O139" s="243">
        <v>1808.4433042380647</v>
      </c>
      <c r="P139" s="243">
        <v>4802.3736080679346</v>
      </c>
      <c r="Q139" s="69"/>
      <c r="R139" s="69"/>
      <c r="S139" s="69"/>
      <c r="T139" s="69"/>
      <c r="U139" s="69"/>
      <c r="V139" s="69"/>
      <c r="W139" s="69"/>
      <c r="X139" s="69"/>
      <c r="Y139" s="69"/>
    </row>
    <row r="140" spans="5:42" x14ac:dyDescent="0.35">
      <c r="E140" s="27"/>
      <c r="F140" s="62" t="s">
        <v>252</v>
      </c>
      <c r="G140" s="62" t="s">
        <v>251</v>
      </c>
      <c r="J140" s="69"/>
      <c r="K140" s="69"/>
      <c r="L140" s="69"/>
      <c r="M140" s="69"/>
      <c r="N140" s="243">
        <v>56.823967305175486</v>
      </c>
      <c r="O140" s="243">
        <v>0</v>
      </c>
      <c r="P140" s="243">
        <v>109.87098954944105</v>
      </c>
      <c r="Q140" s="69"/>
      <c r="R140" s="69"/>
      <c r="S140" s="69"/>
      <c r="T140" s="69"/>
      <c r="U140" s="69"/>
      <c r="V140" s="69"/>
      <c r="W140" s="69"/>
      <c r="X140" s="69"/>
      <c r="Y140" s="69"/>
    </row>
    <row r="141" spans="5:42" x14ac:dyDescent="0.35">
      <c r="E141" s="27"/>
      <c r="F141" s="70" t="s">
        <v>253</v>
      </c>
      <c r="G141" s="70" t="s">
        <v>254</v>
      </c>
      <c r="H141" s="28"/>
      <c r="I141" s="28"/>
      <c r="J141" s="71"/>
      <c r="K141" s="71"/>
      <c r="L141" s="71"/>
      <c r="M141" s="71"/>
      <c r="N141" s="245">
        <v>2619.9128988455604</v>
      </c>
      <c r="O141" s="245">
        <v>11.092938693519278</v>
      </c>
      <c r="P141" s="245">
        <v>162.48456699068279</v>
      </c>
      <c r="Q141" s="71"/>
      <c r="R141" s="71"/>
      <c r="S141" s="71"/>
      <c r="T141" s="71"/>
      <c r="U141" s="71"/>
      <c r="V141" s="71"/>
      <c r="W141" s="71"/>
      <c r="X141" s="71"/>
      <c r="Y141" s="71"/>
    </row>
    <row r="142" spans="5:42" x14ac:dyDescent="0.35">
      <c r="E142" s="250"/>
      <c r="F142" s="225"/>
      <c r="G142" s="225"/>
      <c r="H142" s="249"/>
      <c r="I142" s="249"/>
      <c r="J142" s="251"/>
      <c r="K142" s="251"/>
      <c r="L142" s="251"/>
      <c r="M142" s="251"/>
      <c r="N142" s="252"/>
      <c r="O142" s="252"/>
      <c r="P142" s="252"/>
      <c r="Q142" s="251"/>
      <c r="R142" s="251"/>
      <c r="S142" s="251"/>
      <c r="T142" s="252"/>
      <c r="U142" s="251"/>
      <c r="V142" s="252"/>
      <c r="W142" s="251"/>
      <c r="X142" s="252"/>
      <c r="Y142" s="251"/>
      <c r="Z142" s="249"/>
      <c r="AA142" s="249"/>
      <c r="AB142" s="249"/>
      <c r="AC142" s="249"/>
      <c r="AD142" s="249"/>
      <c r="AE142" s="249"/>
      <c r="AF142" s="249"/>
      <c r="AG142" s="249"/>
      <c r="AH142" s="249"/>
      <c r="AI142" s="249"/>
      <c r="AJ142" s="249"/>
      <c r="AK142" s="249"/>
      <c r="AL142" s="249"/>
      <c r="AM142" s="249"/>
      <c r="AN142" s="249"/>
      <c r="AO142" s="249"/>
      <c r="AP142" s="249"/>
    </row>
    <row r="143" spans="5:42" x14ac:dyDescent="0.35">
      <c r="E143" s="27" t="s">
        <v>954</v>
      </c>
      <c r="G143" s="12"/>
    </row>
    <row r="144" spans="5:42" x14ac:dyDescent="0.35">
      <c r="E144" s="27"/>
      <c r="F144" s="68" t="s">
        <v>247</v>
      </c>
      <c r="G144" s="68" t="s">
        <v>207</v>
      </c>
      <c r="H144" s="19"/>
      <c r="I144" s="19"/>
      <c r="J144" s="73"/>
      <c r="K144" s="73"/>
      <c r="L144" s="242">
        <v>529.47449865049282</v>
      </c>
      <c r="M144" s="73"/>
      <c r="N144" s="242">
        <v>1967.5721169921585</v>
      </c>
      <c r="O144" s="242">
        <v>40.684877660328141</v>
      </c>
      <c r="P144" s="242">
        <v>118.11791172995964</v>
      </c>
      <c r="Q144" s="73"/>
      <c r="R144" s="73"/>
      <c r="S144" s="73"/>
      <c r="T144" s="73"/>
      <c r="U144" s="73"/>
      <c r="V144" s="73"/>
      <c r="W144" s="73"/>
      <c r="X144" s="73"/>
      <c r="Y144" s="73"/>
    </row>
    <row r="145" spans="5:42" x14ac:dyDescent="0.35">
      <c r="E145" s="27"/>
      <c r="F145" s="62" t="s">
        <v>248</v>
      </c>
      <c r="G145" s="62" t="s">
        <v>207</v>
      </c>
      <c r="J145" s="69"/>
      <c r="K145" s="69"/>
      <c r="L145" s="243">
        <v>3338.5169481591784</v>
      </c>
      <c r="M145" s="69"/>
      <c r="N145" s="243">
        <v>10635.246554663447</v>
      </c>
      <c r="O145" s="243">
        <v>229.19943893136829</v>
      </c>
      <c r="P145" s="243">
        <v>682.94082517471816</v>
      </c>
      <c r="Q145" s="69"/>
      <c r="R145" s="69"/>
      <c r="S145" s="69"/>
      <c r="T145" s="69"/>
      <c r="U145" s="69"/>
      <c r="V145" s="69"/>
      <c r="W145" s="69"/>
      <c r="X145" s="69"/>
      <c r="Y145" s="69"/>
    </row>
    <row r="146" spans="5:42" x14ac:dyDescent="0.35">
      <c r="E146" s="27"/>
      <c r="F146" s="62" t="s">
        <v>249</v>
      </c>
      <c r="G146" s="62" t="s">
        <v>207</v>
      </c>
      <c r="J146" s="69"/>
      <c r="K146" s="69"/>
      <c r="L146" s="243">
        <v>1490.5153842233581</v>
      </c>
      <c r="M146" s="69"/>
      <c r="N146" s="243">
        <v>5991.8772498196458</v>
      </c>
      <c r="O146" s="243">
        <v>118.54133156957938</v>
      </c>
      <c r="P146" s="243">
        <v>454.82892207332833</v>
      </c>
      <c r="Q146" s="69"/>
      <c r="R146" s="69"/>
      <c r="S146" s="69"/>
      <c r="T146" s="69"/>
      <c r="U146" s="69"/>
      <c r="V146" s="69"/>
      <c r="W146" s="69"/>
      <c r="X146" s="69"/>
      <c r="Y146" s="69"/>
    </row>
    <row r="147" spans="5:42" x14ac:dyDescent="0.35">
      <c r="E147" s="27"/>
      <c r="F147" s="62" t="s">
        <v>212</v>
      </c>
      <c r="G147" s="62" t="s">
        <v>212</v>
      </c>
      <c r="J147" s="69"/>
      <c r="K147" s="69"/>
      <c r="L147" s="243">
        <v>832.4952805748494</v>
      </c>
      <c r="M147" s="69"/>
      <c r="N147" s="243">
        <v>132.18256240755917</v>
      </c>
      <c r="O147" s="243">
        <v>4.6457078313252964</v>
      </c>
      <c r="P147" s="243">
        <v>2</v>
      </c>
      <c r="Q147" s="69"/>
      <c r="R147" s="69"/>
      <c r="S147" s="69"/>
      <c r="T147" s="69"/>
      <c r="U147" s="69"/>
      <c r="V147" s="69"/>
      <c r="W147" s="69"/>
      <c r="X147" s="69"/>
      <c r="Y147" s="69"/>
    </row>
    <row r="148" spans="5:42" x14ac:dyDescent="0.35">
      <c r="E148" s="27"/>
      <c r="F148" s="62" t="s">
        <v>250</v>
      </c>
      <c r="G148" s="62" t="s">
        <v>251</v>
      </c>
      <c r="J148" s="69"/>
      <c r="K148" s="69"/>
      <c r="L148" s="69"/>
      <c r="M148" s="69"/>
      <c r="N148" s="243">
        <v>24987.250128026139</v>
      </c>
      <c r="O148" s="243">
        <v>2769.2575429809194</v>
      </c>
      <c r="P148" s="243">
        <v>3797.1051397956239</v>
      </c>
      <c r="Q148" s="69"/>
      <c r="R148" s="69"/>
      <c r="S148" s="69"/>
      <c r="T148" s="69"/>
      <c r="U148" s="69"/>
      <c r="V148" s="69"/>
      <c r="W148" s="69"/>
      <c r="X148" s="69"/>
      <c r="Y148" s="69"/>
    </row>
    <row r="149" spans="5:42" x14ac:dyDescent="0.35">
      <c r="E149" s="27"/>
      <c r="F149" s="62" t="s">
        <v>252</v>
      </c>
      <c r="G149" s="62" t="s">
        <v>251</v>
      </c>
      <c r="J149" s="69"/>
      <c r="K149" s="69"/>
      <c r="L149" s="69"/>
      <c r="M149" s="69"/>
      <c r="N149" s="243">
        <v>43.24013387896801</v>
      </c>
      <c r="O149" s="243">
        <v>0</v>
      </c>
      <c r="P149" s="243">
        <v>86.871978979672974</v>
      </c>
      <c r="Q149" s="69"/>
      <c r="R149" s="69"/>
      <c r="S149" s="69"/>
      <c r="T149" s="69"/>
      <c r="U149" s="69"/>
      <c r="V149" s="69"/>
      <c r="W149" s="69"/>
      <c r="X149" s="69"/>
      <c r="Y149" s="69"/>
    </row>
    <row r="150" spans="5:42" x14ac:dyDescent="0.35">
      <c r="E150" s="27"/>
      <c r="F150" s="70" t="s">
        <v>253</v>
      </c>
      <c r="G150" s="70" t="s">
        <v>254</v>
      </c>
      <c r="H150" s="28"/>
      <c r="I150" s="28"/>
      <c r="J150" s="71"/>
      <c r="K150" s="71"/>
      <c r="L150" s="71"/>
      <c r="M150" s="71"/>
      <c r="N150" s="245">
        <v>1993.619767675026</v>
      </c>
      <c r="O150" s="245">
        <v>56.11018263991842</v>
      </c>
      <c r="P150" s="245">
        <v>23.535918035319249</v>
      </c>
      <c r="Q150" s="71"/>
      <c r="R150" s="71"/>
      <c r="S150" s="71"/>
      <c r="T150" s="71"/>
      <c r="U150" s="71"/>
      <c r="V150" s="71"/>
      <c r="W150" s="71"/>
      <c r="X150" s="71"/>
      <c r="Y150" s="71"/>
    </row>
    <row r="151" spans="5:42" x14ac:dyDescent="0.35">
      <c r="E151" s="250"/>
      <c r="F151" s="225"/>
      <c r="G151" s="225"/>
      <c r="H151" s="249"/>
      <c r="I151" s="249"/>
      <c r="J151" s="251"/>
      <c r="K151" s="251"/>
      <c r="L151" s="251"/>
      <c r="M151" s="251"/>
      <c r="N151" s="252"/>
      <c r="O151" s="252"/>
      <c r="P151" s="252"/>
      <c r="Q151" s="251"/>
      <c r="R151" s="251"/>
      <c r="S151" s="251"/>
      <c r="T151" s="252"/>
      <c r="U151" s="251"/>
      <c r="V151" s="252"/>
      <c r="W151" s="251"/>
      <c r="X151" s="252"/>
      <c r="Y151" s="251"/>
      <c r="Z151" s="249"/>
      <c r="AA151" s="249"/>
      <c r="AB151" s="249"/>
      <c r="AC151" s="249"/>
      <c r="AD151" s="249"/>
      <c r="AE151" s="249"/>
      <c r="AF151" s="249"/>
      <c r="AG151" s="249"/>
      <c r="AH151" s="249"/>
      <c r="AI151" s="249"/>
      <c r="AJ151" s="249"/>
      <c r="AK151" s="249"/>
      <c r="AL151" s="249"/>
      <c r="AM151" s="249"/>
      <c r="AN151" s="249"/>
      <c r="AO151" s="249"/>
      <c r="AP151" s="249"/>
    </row>
    <row r="152" spans="5:42" x14ac:dyDescent="0.35">
      <c r="E152" s="27" t="s">
        <v>955</v>
      </c>
      <c r="G152" s="12"/>
    </row>
    <row r="153" spans="5:42" x14ac:dyDescent="0.35">
      <c r="E153" s="27"/>
      <c r="F153" s="68" t="s">
        <v>247</v>
      </c>
      <c r="G153" s="68" t="s">
        <v>207</v>
      </c>
      <c r="H153" s="19"/>
      <c r="I153" s="19"/>
      <c r="J153" s="73"/>
      <c r="K153" s="73"/>
      <c r="L153" s="242">
        <v>0</v>
      </c>
      <c r="M153" s="73"/>
      <c r="N153" s="242">
        <v>7949.9141203121799</v>
      </c>
      <c r="O153" s="242">
        <v>732.61377285711262</v>
      </c>
      <c r="P153" s="242">
        <v>1074.4197771764254</v>
      </c>
      <c r="Q153" s="73"/>
      <c r="R153" s="73"/>
      <c r="S153" s="73"/>
      <c r="T153" s="73"/>
      <c r="U153" s="73"/>
      <c r="V153" s="73"/>
      <c r="W153" s="73"/>
      <c r="X153" s="73"/>
      <c r="Y153" s="73"/>
    </row>
    <row r="154" spans="5:42" x14ac:dyDescent="0.35">
      <c r="E154" s="27"/>
      <c r="F154" s="62" t="s">
        <v>248</v>
      </c>
      <c r="G154" s="62" t="s">
        <v>207</v>
      </c>
      <c r="J154" s="69"/>
      <c r="K154" s="69"/>
      <c r="L154" s="243">
        <v>0</v>
      </c>
      <c r="M154" s="69"/>
      <c r="N154" s="243">
        <v>42971.383883591268</v>
      </c>
      <c r="O154" s="243">
        <v>4127.2009490636083</v>
      </c>
      <c r="P154" s="243">
        <v>6212.1410585587864</v>
      </c>
      <c r="Q154" s="69"/>
      <c r="R154" s="69"/>
      <c r="S154" s="69"/>
      <c r="T154" s="69"/>
      <c r="U154" s="69"/>
      <c r="V154" s="69"/>
      <c r="W154" s="69"/>
      <c r="X154" s="69"/>
      <c r="Y154" s="69"/>
    </row>
    <row r="155" spans="5:42" x14ac:dyDescent="0.35">
      <c r="E155" s="27"/>
      <c r="F155" s="62" t="s">
        <v>249</v>
      </c>
      <c r="G155" s="62" t="s">
        <v>207</v>
      </c>
      <c r="J155" s="69"/>
      <c r="K155" s="69"/>
      <c r="L155" s="243">
        <v>0</v>
      </c>
      <c r="M155" s="69"/>
      <c r="N155" s="243">
        <v>24209.994207652395</v>
      </c>
      <c r="O155" s="243">
        <v>2134.5771980869972</v>
      </c>
      <c r="P155" s="243">
        <v>4137.1980079078066</v>
      </c>
      <c r="Q155" s="69"/>
      <c r="R155" s="69"/>
      <c r="S155" s="69"/>
      <c r="T155" s="69"/>
      <c r="U155" s="69"/>
      <c r="V155" s="69"/>
      <c r="W155" s="69"/>
      <c r="X155" s="69"/>
      <c r="Y155" s="69"/>
    </row>
    <row r="156" spans="5:42" x14ac:dyDescent="0.35">
      <c r="E156" s="27"/>
      <c r="F156" s="62" t="s">
        <v>212</v>
      </c>
      <c r="G156" s="62" t="s">
        <v>212</v>
      </c>
      <c r="J156" s="69"/>
      <c r="K156" s="69"/>
      <c r="L156" s="243">
        <v>230.11647461469292</v>
      </c>
      <c r="M156" s="69"/>
      <c r="N156" s="243">
        <v>193.63764006555354</v>
      </c>
      <c r="O156" s="243">
        <v>35.367324135250705</v>
      </c>
      <c r="P156" s="243">
        <v>3</v>
      </c>
      <c r="Q156" s="69"/>
      <c r="R156" s="69"/>
      <c r="S156" s="69"/>
      <c r="T156" s="69"/>
      <c r="U156" s="69"/>
      <c r="V156" s="69"/>
      <c r="W156" s="69"/>
      <c r="X156" s="69"/>
      <c r="Y156" s="69"/>
    </row>
    <row r="157" spans="5:42" x14ac:dyDescent="0.35">
      <c r="E157" s="27"/>
      <c r="F157" s="62" t="s">
        <v>250</v>
      </c>
      <c r="G157" s="62" t="s">
        <v>251</v>
      </c>
      <c r="J157" s="69"/>
      <c r="K157" s="69"/>
      <c r="L157" s="69"/>
      <c r="M157" s="69"/>
      <c r="N157" s="243">
        <v>100960.20923707723</v>
      </c>
      <c r="O157" s="243">
        <v>34527.48874882191</v>
      </c>
      <c r="P157" s="243">
        <v>10997.155601328604</v>
      </c>
      <c r="Q157" s="69"/>
      <c r="R157" s="69"/>
      <c r="S157" s="69"/>
      <c r="T157" s="69"/>
      <c r="U157" s="69"/>
      <c r="V157" s="69"/>
      <c r="W157" s="69"/>
      <c r="X157" s="69"/>
      <c r="Y157" s="69"/>
    </row>
    <row r="158" spans="5:42" x14ac:dyDescent="0.35">
      <c r="E158" s="27"/>
      <c r="F158" s="62" t="s">
        <v>252</v>
      </c>
      <c r="G158" s="62" t="s">
        <v>251</v>
      </c>
      <c r="J158" s="69"/>
      <c r="K158" s="69"/>
      <c r="L158" s="69"/>
      <c r="M158" s="69"/>
      <c r="N158" s="243">
        <v>174.71041997388036</v>
      </c>
      <c r="O158" s="243">
        <v>0</v>
      </c>
      <c r="P158" s="243">
        <v>251.59816098382575</v>
      </c>
      <c r="Q158" s="69"/>
      <c r="R158" s="69"/>
      <c r="S158" s="69"/>
      <c r="T158" s="69"/>
      <c r="U158" s="69"/>
      <c r="V158" s="69"/>
      <c r="W158" s="69"/>
      <c r="X158" s="69"/>
      <c r="Y158" s="69"/>
    </row>
    <row r="159" spans="5:42" x14ac:dyDescent="0.35">
      <c r="E159" s="27"/>
      <c r="F159" s="70" t="s">
        <v>253</v>
      </c>
      <c r="G159" s="70" t="s">
        <v>254</v>
      </c>
      <c r="H159" s="28"/>
      <c r="I159" s="28"/>
      <c r="J159" s="71"/>
      <c r="K159" s="71"/>
      <c r="L159" s="71"/>
      <c r="M159" s="71"/>
      <c r="N159" s="245">
        <v>8055.158845105926</v>
      </c>
      <c r="O159" s="245">
        <v>1010.3776873247392</v>
      </c>
      <c r="P159" s="245">
        <v>214.086546576969</v>
      </c>
      <c r="Q159" s="71"/>
      <c r="R159" s="71"/>
      <c r="S159" s="71"/>
      <c r="T159" s="71"/>
      <c r="U159" s="71"/>
      <c r="V159" s="71"/>
      <c r="W159" s="71"/>
      <c r="X159" s="71"/>
      <c r="Y159" s="71"/>
    </row>
    <row r="160" spans="5:42" x14ac:dyDescent="0.35">
      <c r="E160" s="250"/>
      <c r="F160" s="225"/>
      <c r="G160" s="225"/>
      <c r="H160" s="249"/>
      <c r="I160" s="249"/>
      <c r="J160" s="251"/>
      <c r="K160" s="251"/>
      <c r="L160" s="251"/>
      <c r="M160" s="251"/>
      <c r="N160" s="252"/>
      <c r="O160" s="252"/>
      <c r="P160" s="252"/>
      <c r="Q160" s="251"/>
      <c r="R160" s="251"/>
      <c r="S160" s="251"/>
      <c r="T160" s="252"/>
      <c r="U160" s="251"/>
      <c r="V160" s="252"/>
      <c r="W160" s="251"/>
      <c r="X160" s="252"/>
      <c r="Y160" s="251"/>
      <c r="Z160" s="249"/>
      <c r="AA160" s="249"/>
      <c r="AB160" s="249"/>
      <c r="AC160" s="249"/>
      <c r="AD160" s="249"/>
      <c r="AE160" s="249"/>
      <c r="AF160" s="249"/>
      <c r="AG160" s="249"/>
      <c r="AH160" s="249"/>
      <c r="AI160" s="249"/>
      <c r="AJ160" s="249"/>
      <c r="AK160" s="249"/>
      <c r="AL160" s="249"/>
      <c r="AM160" s="249"/>
      <c r="AN160" s="249"/>
      <c r="AO160" s="249"/>
      <c r="AP160" s="249"/>
    </row>
    <row r="161" spans="3:43" x14ac:dyDescent="0.35">
      <c r="E161" s="27" t="s">
        <v>885</v>
      </c>
      <c r="G161" s="12" t="s">
        <v>212</v>
      </c>
      <c r="I161" t="s">
        <v>154</v>
      </c>
      <c r="J161" s="312">
        <v>4767</v>
      </c>
      <c r="K161" s="312">
        <v>0</v>
      </c>
      <c r="L161" s="312">
        <v>16.483870967741932</v>
      </c>
      <c r="M161" s="312">
        <v>0</v>
      </c>
      <c r="N161" s="312">
        <v>31.096774193548384</v>
      </c>
      <c r="O161" s="312">
        <v>4</v>
      </c>
      <c r="P161" s="312">
        <v>9</v>
      </c>
      <c r="Q161" s="312">
        <v>47</v>
      </c>
      <c r="R161" s="312">
        <v>18.387096774193544</v>
      </c>
      <c r="S161" s="312">
        <v>0</v>
      </c>
      <c r="T161" s="312">
        <v>0</v>
      </c>
      <c r="U161" s="312">
        <v>0</v>
      </c>
      <c r="V161" s="312">
        <v>0</v>
      </c>
      <c r="W161" s="312">
        <v>0</v>
      </c>
      <c r="X161" s="312">
        <v>0</v>
      </c>
      <c r="Y161" s="312">
        <v>0</v>
      </c>
      <c r="AQ161" t="s">
        <v>901</v>
      </c>
    </row>
    <row r="162" spans="3:43" x14ac:dyDescent="0.35">
      <c r="G162" s="12"/>
    </row>
    <row r="163" spans="3:43" x14ac:dyDescent="0.35">
      <c r="C163" s="26" t="str">
        <f ca="1">INDEX('Version control'!$H$38:$H$61,MATCH($A$1,'Version control'!$F$38:$F$61,0),1)&amp;"-C: Non-Domestic Aggregated (Related MPAN) distribution by bands"</f>
        <v>Input 102-C: Non-Domestic Aggregated (Related MPAN) distribution by bands</v>
      </c>
      <c r="D163" s="26"/>
      <c r="E163" s="26"/>
      <c r="F163" s="26"/>
      <c r="G163" s="8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row>
    <row r="164" spans="3:43" x14ac:dyDescent="0.35">
      <c r="G164" s="12"/>
    </row>
    <row r="165" spans="3:43" x14ac:dyDescent="0.35">
      <c r="D165" s="24" t="s">
        <v>1126</v>
      </c>
      <c r="G165" s="12"/>
      <c r="I165" t="s">
        <v>154</v>
      </c>
      <c r="AQ165" t="s">
        <v>1138</v>
      </c>
    </row>
    <row r="166" spans="3:43" x14ac:dyDescent="0.35">
      <c r="D166" s="24" t="s">
        <v>1127</v>
      </c>
      <c r="G166" s="12"/>
    </row>
    <row r="167" spans="3:43" x14ac:dyDescent="0.35">
      <c r="G167" s="12"/>
    </row>
    <row r="168" spans="3:43" x14ac:dyDescent="0.35">
      <c r="E168" s="27" t="s">
        <v>987</v>
      </c>
      <c r="G168" s="12"/>
      <c r="J168" s="288" t="s">
        <v>978</v>
      </c>
      <c r="K168" s="288" t="s">
        <v>983</v>
      </c>
      <c r="L168" s="288" t="s">
        <v>984</v>
      </c>
      <c r="M168" s="288" t="s">
        <v>985</v>
      </c>
      <c r="N168" s="288" t="s">
        <v>986</v>
      </c>
    </row>
    <row r="169" spans="3:43" x14ac:dyDescent="0.35">
      <c r="E169" s="27"/>
      <c r="F169" s="68" t="s">
        <v>247</v>
      </c>
      <c r="G169" s="68" t="s">
        <v>167</v>
      </c>
      <c r="H169" s="394"/>
      <c r="I169" s="19"/>
      <c r="J169" s="246">
        <v>6.9881283783035242E-5</v>
      </c>
      <c r="K169" s="246">
        <v>8.338015563338147E-2</v>
      </c>
      <c r="L169" s="246">
        <v>0.17341694945816932</v>
      </c>
      <c r="M169" s="246">
        <v>0.19994511806014342</v>
      </c>
      <c r="N169" s="246">
        <v>0.54318789556452285</v>
      </c>
    </row>
    <row r="170" spans="3:43" x14ac:dyDescent="0.35">
      <c r="E170" s="27"/>
      <c r="F170" s="336" t="s">
        <v>248</v>
      </c>
      <c r="G170" s="336" t="s">
        <v>167</v>
      </c>
      <c r="H170" s="395"/>
      <c r="J170" s="350">
        <v>6.9881283783035242E-5</v>
      </c>
      <c r="K170" s="350">
        <v>8.338015563338147E-2</v>
      </c>
      <c r="L170" s="350">
        <v>0.17341694945816932</v>
      </c>
      <c r="M170" s="350">
        <v>0.19994511806014342</v>
      </c>
      <c r="N170" s="350">
        <v>0.54318789556452285</v>
      </c>
    </row>
    <row r="171" spans="3:43" x14ac:dyDescent="0.35">
      <c r="E171" s="27"/>
      <c r="F171" s="70" t="s">
        <v>249</v>
      </c>
      <c r="G171" s="70" t="s">
        <v>167</v>
      </c>
      <c r="H171" s="396"/>
      <c r="I171" s="28"/>
      <c r="J171" s="247">
        <v>6.9881283783035242E-5</v>
      </c>
      <c r="K171" s="247">
        <v>8.338015563338147E-2</v>
      </c>
      <c r="L171" s="247">
        <v>0.17341694945816932</v>
      </c>
      <c r="M171" s="247">
        <v>0.19994511806014342</v>
      </c>
      <c r="N171" s="247">
        <v>0.54318789556452285</v>
      </c>
    </row>
    <row r="172" spans="3:43" x14ac:dyDescent="0.35">
      <c r="E172" s="250"/>
      <c r="F172" s="225"/>
      <c r="G172" s="225"/>
      <c r="H172" s="249"/>
      <c r="I172" s="249"/>
      <c r="J172" s="251"/>
      <c r="K172" s="251"/>
      <c r="L172" s="251"/>
      <c r="M172" s="251"/>
      <c r="N172" s="251"/>
    </row>
    <row r="173" spans="3:43" x14ac:dyDescent="0.35">
      <c r="E173" s="27" t="s">
        <v>988</v>
      </c>
      <c r="G173" s="12"/>
      <c r="J173" s="288" t="s">
        <v>978</v>
      </c>
      <c r="K173" s="288" t="s">
        <v>983</v>
      </c>
      <c r="L173" s="288" t="s">
        <v>984</v>
      </c>
      <c r="M173" s="288" t="s">
        <v>985</v>
      </c>
      <c r="N173" s="288" t="s">
        <v>986</v>
      </c>
    </row>
    <row r="174" spans="3:43" x14ac:dyDescent="0.35">
      <c r="E174" s="27"/>
      <c r="F174" s="68" t="s">
        <v>247</v>
      </c>
      <c r="G174" s="68" t="s">
        <v>167</v>
      </c>
      <c r="H174" s="394"/>
      <c r="I174" s="19"/>
      <c r="J174" s="246">
        <v>5.4949039989870706E-4</v>
      </c>
      <c r="K174" s="246">
        <v>0.37004183256892303</v>
      </c>
      <c r="L174" s="246">
        <v>0.13174124533947323</v>
      </c>
      <c r="M174" s="246">
        <v>0.23992816058395947</v>
      </c>
      <c r="N174" s="246">
        <v>0.25773927110774558</v>
      </c>
    </row>
    <row r="175" spans="3:43" x14ac:dyDescent="0.35">
      <c r="E175" s="27"/>
      <c r="F175" s="336" t="s">
        <v>248</v>
      </c>
      <c r="G175" s="336" t="s">
        <v>167</v>
      </c>
      <c r="H175" s="395"/>
      <c r="J175" s="350">
        <v>5.4949039989870706E-4</v>
      </c>
      <c r="K175" s="350">
        <v>0.37004183256892303</v>
      </c>
      <c r="L175" s="350">
        <v>0.13174124533947323</v>
      </c>
      <c r="M175" s="350">
        <v>0.23992816058395947</v>
      </c>
      <c r="N175" s="350">
        <v>0.25773927110774558</v>
      </c>
    </row>
    <row r="176" spans="3:43" x14ac:dyDescent="0.35">
      <c r="E176" s="27"/>
      <c r="F176" s="70" t="s">
        <v>249</v>
      </c>
      <c r="G176" s="70" t="s">
        <v>167</v>
      </c>
      <c r="H176" s="396"/>
      <c r="I176" s="28"/>
      <c r="J176" s="247">
        <v>5.4949039989870706E-4</v>
      </c>
      <c r="K176" s="247">
        <v>0.37004183256892303</v>
      </c>
      <c r="L176" s="247">
        <v>0.13174124533947323</v>
      </c>
      <c r="M176" s="247">
        <v>0.23992816058395947</v>
      </c>
      <c r="N176" s="247">
        <v>0.25773927110774558</v>
      </c>
    </row>
    <row r="177" spans="3:43" x14ac:dyDescent="0.35">
      <c r="E177" s="250"/>
      <c r="F177" s="225"/>
      <c r="G177" s="225"/>
      <c r="H177" s="249"/>
      <c r="I177" s="249"/>
      <c r="J177" s="251"/>
      <c r="K177" s="251"/>
      <c r="L177" s="251"/>
      <c r="M177" s="251"/>
      <c r="N177" s="251"/>
    </row>
    <row r="178" spans="3:43" x14ac:dyDescent="0.35">
      <c r="E178" s="27" t="s">
        <v>989</v>
      </c>
      <c r="G178" s="12"/>
      <c r="J178" s="288" t="s">
        <v>978</v>
      </c>
      <c r="K178" s="288" t="s">
        <v>983</v>
      </c>
      <c r="L178" s="288" t="s">
        <v>984</v>
      </c>
      <c r="M178" s="288" t="s">
        <v>985</v>
      </c>
      <c r="N178" s="288" t="s">
        <v>986</v>
      </c>
    </row>
    <row r="179" spans="3:43" x14ac:dyDescent="0.35">
      <c r="E179" s="27"/>
      <c r="F179" s="68" t="s">
        <v>247</v>
      </c>
      <c r="G179" s="68" t="s">
        <v>167</v>
      </c>
      <c r="H179" s="394"/>
      <c r="I179" s="19"/>
      <c r="J179" s="246">
        <v>0.26290354922799253</v>
      </c>
      <c r="K179" s="246">
        <v>0.15191541486124827</v>
      </c>
      <c r="L179" s="246">
        <v>0.33689985266039546</v>
      </c>
      <c r="M179" s="246">
        <v>0.24828118325036358</v>
      </c>
      <c r="N179" s="246">
        <v>0</v>
      </c>
    </row>
    <row r="180" spans="3:43" x14ac:dyDescent="0.35">
      <c r="E180" s="27"/>
      <c r="F180" s="336" t="s">
        <v>248</v>
      </c>
      <c r="G180" s="336" t="s">
        <v>167</v>
      </c>
      <c r="H180" s="395"/>
      <c r="J180" s="350">
        <v>0.26290354922799253</v>
      </c>
      <c r="K180" s="350">
        <v>0.15191541486124827</v>
      </c>
      <c r="L180" s="350">
        <v>0.33689985266039546</v>
      </c>
      <c r="M180" s="350">
        <v>0.24828118325036358</v>
      </c>
      <c r="N180" s="350">
        <v>0</v>
      </c>
    </row>
    <row r="181" spans="3:43" x14ac:dyDescent="0.35">
      <c r="E181" s="27"/>
      <c r="F181" s="70" t="s">
        <v>249</v>
      </c>
      <c r="G181" s="70" t="s">
        <v>167</v>
      </c>
      <c r="H181" s="396"/>
      <c r="I181" s="28"/>
      <c r="J181" s="247">
        <v>0.26290354922799253</v>
      </c>
      <c r="K181" s="247">
        <v>0.15191541486124827</v>
      </c>
      <c r="L181" s="247">
        <v>0.33689985266039546</v>
      </c>
      <c r="M181" s="247">
        <v>0.24828118325036358</v>
      </c>
      <c r="N181" s="247">
        <v>0</v>
      </c>
    </row>
    <row r="182" spans="3:43" x14ac:dyDescent="0.35">
      <c r="E182" s="250"/>
      <c r="F182" s="225"/>
      <c r="G182" s="225"/>
      <c r="H182" s="249"/>
      <c r="I182" s="249"/>
      <c r="J182" s="251"/>
      <c r="K182" s="251"/>
      <c r="L182" s="251"/>
      <c r="M182" s="251"/>
      <c r="N182" s="252"/>
      <c r="O182" s="252"/>
      <c r="P182" s="252"/>
      <c r="Q182" s="251"/>
      <c r="R182" s="251"/>
      <c r="S182" s="251"/>
      <c r="T182" s="252"/>
      <c r="U182" s="251"/>
      <c r="V182" s="252"/>
      <c r="W182" s="251"/>
      <c r="X182" s="252"/>
      <c r="Y182" s="251"/>
      <c r="Z182" s="249"/>
      <c r="AA182" s="249"/>
      <c r="AB182" s="249"/>
      <c r="AC182" s="249"/>
      <c r="AD182" s="249"/>
      <c r="AE182" s="249"/>
      <c r="AF182" s="249"/>
      <c r="AG182" s="249"/>
      <c r="AH182" s="249"/>
      <c r="AI182" s="249"/>
      <c r="AJ182" s="249"/>
      <c r="AK182" s="249"/>
      <c r="AL182" s="249"/>
      <c r="AM182" s="249"/>
      <c r="AN182" s="249"/>
      <c r="AO182" s="249"/>
      <c r="AP182" s="249"/>
    </row>
    <row r="183" spans="3:43" x14ac:dyDescent="0.35">
      <c r="C183" s="26" t="str">
        <f ca="1">INDEX('Version control'!$H$38:$H$61,MATCH($A$1,'Version control'!$F$38:$F$61,0),1)&amp;"-D: Service model asset values"</f>
        <v>Input 102-D: Service model asset values</v>
      </c>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row>
    <row r="184" spans="3:43" x14ac:dyDescent="0.35">
      <c r="G184" s="12"/>
    </row>
    <row r="185" spans="3:43" x14ac:dyDescent="0.35">
      <c r="D185" s="24" t="s">
        <v>258</v>
      </c>
      <c r="H185" s="53"/>
    </row>
    <row r="186" spans="3:43" x14ac:dyDescent="0.35">
      <c r="G186" s="12"/>
      <c r="I186" t="s">
        <v>154</v>
      </c>
      <c r="AQ186" t="s">
        <v>259</v>
      </c>
    </row>
    <row r="187" spans="3:43" x14ac:dyDescent="0.35">
      <c r="D187" s="78"/>
      <c r="E187" t="s">
        <v>260</v>
      </c>
      <c r="G187" t="s">
        <v>261</v>
      </c>
      <c r="H187" s="41"/>
      <c r="J187" s="243">
        <v>423.85531050027987</v>
      </c>
      <c r="K187" s="69"/>
      <c r="L187" s="243">
        <v>867.80010243660013</v>
      </c>
      <c r="M187" s="69"/>
      <c r="N187" s="243">
        <v>2572.1822023595005</v>
      </c>
      <c r="O187" s="243">
        <v>6597.9134244200004</v>
      </c>
      <c r="P187" s="69"/>
      <c r="Q187" s="69"/>
      <c r="R187" s="243">
        <v>0</v>
      </c>
      <c r="S187" s="243">
        <v>0</v>
      </c>
      <c r="T187" s="243">
        <v>0</v>
      </c>
      <c r="U187" s="243">
        <v>0</v>
      </c>
      <c r="V187" s="243">
        <v>0</v>
      </c>
      <c r="W187" s="243">
        <v>0</v>
      </c>
      <c r="X187" s="69"/>
      <c r="Y187" s="69"/>
    </row>
    <row r="188" spans="3:43" x14ac:dyDescent="0.35">
      <c r="D188" s="78"/>
      <c r="E188" t="s">
        <v>262</v>
      </c>
      <c r="G188" t="s">
        <v>261</v>
      </c>
      <c r="H188" s="41"/>
      <c r="J188" s="69"/>
      <c r="K188" s="69"/>
      <c r="L188" s="69"/>
      <c r="M188" s="69"/>
      <c r="N188" s="69"/>
      <c r="O188" s="69"/>
      <c r="P188" s="243">
        <v>23585.1893584875</v>
      </c>
      <c r="Q188" s="69"/>
      <c r="R188" s="69"/>
      <c r="S188" s="69"/>
      <c r="T188" s="69"/>
      <c r="U188" s="69"/>
      <c r="V188" s="69"/>
      <c r="W188" s="69"/>
      <c r="X188" s="243">
        <v>46956.273676054996</v>
      </c>
      <c r="Y188" s="243">
        <v>46956.273676054996</v>
      </c>
    </row>
    <row r="189" spans="3:43" x14ac:dyDescent="0.35">
      <c r="G189" s="12"/>
      <c r="J189" s="79"/>
      <c r="K189" s="79"/>
      <c r="L189" s="79"/>
      <c r="M189" s="79"/>
      <c r="N189" s="79"/>
      <c r="O189" s="79"/>
      <c r="P189" s="79"/>
      <c r="Q189" s="79"/>
      <c r="R189" s="79"/>
      <c r="S189" s="79"/>
      <c r="T189" s="79"/>
      <c r="U189" s="79"/>
      <c r="V189" s="79"/>
      <c r="W189" s="79"/>
      <c r="X189" s="79"/>
      <c r="Y189" s="79"/>
    </row>
    <row r="190" spans="3:43" x14ac:dyDescent="0.35">
      <c r="D190" s="78"/>
      <c r="E190" t="s">
        <v>263</v>
      </c>
      <c r="G190" t="s">
        <v>264</v>
      </c>
      <c r="I190" t="s">
        <v>154</v>
      </c>
      <c r="J190" s="69"/>
      <c r="K190" s="69"/>
      <c r="L190" s="69"/>
      <c r="M190" s="69"/>
      <c r="N190" s="69"/>
      <c r="O190" s="69"/>
      <c r="P190" s="69"/>
      <c r="Q190" s="243">
        <v>885.61588889473251</v>
      </c>
      <c r="R190" s="69"/>
      <c r="S190" s="69"/>
      <c r="T190" s="69"/>
      <c r="U190" s="69"/>
      <c r="V190" s="69"/>
      <c r="W190" s="69"/>
      <c r="X190" s="69"/>
      <c r="Y190" s="69"/>
      <c r="AQ190" t="s">
        <v>265</v>
      </c>
    </row>
    <row r="191" spans="3:43" x14ac:dyDescent="0.35">
      <c r="D191" s="78"/>
      <c r="J191" s="79"/>
      <c r="K191" s="79"/>
      <c r="L191" s="79"/>
      <c r="M191" s="79"/>
      <c r="N191" s="79"/>
      <c r="O191" s="79"/>
      <c r="P191" s="79"/>
      <c r="Q191" s="79"/>
      <c r="R191" s="79"/>
      <c r="S191" s="79"/>
      <c r="T191" s="79"/>
      <c r="U191" s="79"/>
      <c r="V191" s="79"/>
      <c r="W191" s="79"/>
      <c r="X191" s="79"/>
      <c r="Y191" s="79"/>
    </row>
    <row r="192" spans="3:43" x14ac:dyDescent="0.35">
      <c r="C192" s="26" t="str">
        <f ca="1">INDEX('Version control'!$H$38:$H$61,MATCH($A$1,'Version control'!$F$38:$F$61,0),1)&amp;"-E: Previous year all-the-way tariff forecast"</f>
        <v>Input 102-E: Previous year all-the-way tariff forecast</v>
      </c>
      <c r="D192" s="26"/>
      <c r="E192" s="26"/>
      <c r="F192" s="26"/>
      <c r="G192" s="26"/>
      <c r="H192" s="26"/>
      <c r="I192" s="26"/>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26"/>
      <c r="AQ192" s="26"/>
    </row>
    <row r="193" spans="3:43" x14ac:dyDescent="0.35">
      <c r="F193" s="77"/>
      <c r="G193" s="62"/>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row>
    <row r="194" spans="3:43" x14ac:dyDescent="0.35">
      <c r="D194" s="24" t="s">
        <v>266</v>
      </c>
      <c r="G194" s="12"/>
      <c r="J194" s="79"/>
      <c r="K194" s="79"/>
      <c r="L194" s="79"/>
      <c r="M194" s="79"/>
      <c r="N194" s="79"/>
      <c r="O194" s="79"/>
      <c r="P194" s="79"/>
      <c r="Q194" s="79"/>
      <c r="R194" s="79"/>
      <c r="S194" s="79"/>
      <c r="T194" s="79"/>
      <c r="U194" s="79"/>
      <c r="V194" s="79"/>
      <c r="W194" s="79"/>
      <c r="X194" s="79"/>
      <c r="Y194" s="79"/>
      <c r="Z194" s="79"/>
      <c r="AA194" s="79"/>
      <c r="AB194" s="79"/>
      <c r="AC194" s="79"/>
      <c r="AD194" s="79"/>
      <c r="AE194" s="79"/>
      <c r="AF194" s="79"/>
      <c r="AG194" s="79"/>
      <c r="AH194" s="79"/>
      <c r="AI194" s="79"/>
      <c r="AJ194" s="79"/>
      <c r="AK194" s="79"/>
      <c r="AL194" s="79"/>
      <c r="AM194" s="79"/>
      <c r="AN194" s="79"/>
      <c r="AO194" s="79"/>
    </row>
    <row r="195" spans="3:43" x14ac:dyDescent="0.35">
      <c r="D195" s="81" t="s">
        <v>267</v>
      </c>
      <c r="G195" s="12"/>
      <c r="J195" s="79"/>
      <c r="K195" s="79"/>
      <c r="L195" s="79"/>
      <c r="M195" s="79"/>
      <c r="N195" s="79"/>
      <c r="O195" s="79"/>
      <c r="P195" s="79"/>
      <c r="Q195" s="79"/>
      <c r="R195" s="79"/>
      <c r="S195" s="79"/>
      <c r="T195" s="79"/>
      <c r="U195" s="79"/>
      <c r="V195" s="79"/>
      <c r="W195" s="79"/>
      <c r="X195" s="79"/>
      <c r="Y195" s="79"/>
      <c r="Z195" s="79"/>
      <c r="AA195" s="79"/>
      <c r="AB195" s="79"/>
      <c r="AC195" s="79"/>
      <c r="AD195" s="79"/>
      <c r="AE195" s="79"/>
      <c r="AF195" s="79"/>
      <c r="AG195" s="79"/>
      <c r="AH195" s="79"/>
      <c r="AI195" s="79"/>
      <c r="AJ195" s="79"/>
      <c r="AK195" s="79"/>
      <c r="AL195" s="79"/>
      <c r="AM195" s="79"/>
      <c r="AN195" s="79"/>
      <c r="AO195" s="79"/>
    </row>
    <row r="196" spans="3:43" x14ac:dyDescent="0.35">
      <c r="D196" s="81"/>
      <c r="G196" s="12"/>
      <c r="J196" s="79"/>
      <c r="K196" s="79"/>
      <c r="L196" s="79"/>
      <c r="M196" s="79"/>
      <c r="N196" s="79"/>
      <c r="O196" s="79"/>
      <c r="P196" s="79"/>
      <c r="Q196" s="79"/>
      <c r="R196" s="79"/>
      <c r="S196" s="79"/>
      <c r="T196" s="79"/>
      <c r="U196" s="79"/>
      <c r="V196" s="79"/>
      <c r="W196" s="79"/>
      <c r="X196" s="79"/>
      <c r="Y196" s="79"/>
      <c r="Z196" s="79"/>
      <c r="AA196" s="79"/>
      <c r="AB196" s="79"/>
      <c r="AC196" s="79"/>
      <c r="AD196" s="79"/>
      <c r="AE196" s="79"/>
      <c r="AF196" s="79"/>
      <c r="AG196" s="79"/>
      <c r="AH196" s="79"/>
      <c r="AI196" s="79"/>
      <c r="AJ196" s="79"/>
      <c r="AK196" s="79"/>
      <c r="AL196" s="79"/>
      <c r="AM196" s="79"/>
      <c r="AN196" s="79"/>
      <c r="AO196" s="79"/>
    </row>
    <row r="197" spans="3:43" ht="43.5" x14ac:dyDescent="0.35">
      <c r="E197" s="27" t="s">
        <v>268</v>
      </c>
      <c r="G197" s="12"/>
      <c r="J197" s="104" t="s">
        <v>908</v>
      </c>
      <c r="K197" s="104" t="s">
        <v>829</v>
      </c>
      <c r="L197" s="104" t="s">
        <v>909</v>
      </c>
      <c r="M197" s="104" t="s">
        <v>910</v>
      </c>
      <c r="N197" s="104" t="s">
        <v>911</v>
      </c>
      <c r="O197" s="104" t="s">
        <v>912</v>
      </c>
      <c r="P197" s="104" t="s">
        <v>913</v>
      </c>
      <c r="Q197" s="104" t="s">
        <v>830</v>
      </c>
      <c r="R197" s="104" t="s">
        <v>914</v>
      </c>
      <c r="S197" s="104" t="s">
        <v>915</v>
      </c>
      <c r="T197" s="104" t="s">
        <v>916</v>
      </c>
      <c r="U197" s="104" t="s">
        <v>917</v>
      </c>
      <c r="V197" s="104" t="s">
        <v>918</v>
      </c>
      <c r="W197" s="104" t="s">
        <v>919</v>
      </c>
      <c r="X197" s="104" t="s">
        <v>920</v>
      </c>
      <c r="Y197" s="104" t="s">
        <v>921</v>
      </c>
      <c r="Z197" s="104" t="s">
        <v>922</v>
      </c>
      <c r="AA197" s="104" t="s">
        <v>923</v>
      </c>
      <c r="AB197" s="104" t="s">
        <v>924</v>
      </c>
      <c r="AC197" s="104" t="s">
        <v>925</v>
      </c>
      <c r="AD197" s="104" t="s">
        <v>926</v>
      </c>
      <c r="AE197" s="104" t="s">
        <v>927</v>
      </c>
      <c r="AF197" s="104" t="s">
        <v>928</v>
      </c>
      <c r="AG197" s="104" t="s">
        <v>839</v>
      </c>
      <c r="AH197" s="104" t="s">
        <v>831</v>
      </c>
      <c r="AI197" s="104" t="s">
        <v>832</v>
      </c>
      <c r="AJ197" s="104" t="s">
        <v>833</v>
      </c>
      <c r="AK197" s="104" t="s">
        <v>842</v>
      </c>
      <c r="AL197" s="104" t="s">
        <v>834</v>
      </c>
      <c r="AM197" s="104" t="s">
        <v>841</v>
      </c>
      <c r="AN197" s="104" t="s">
        <v>835</v>
      </c>
      <c r="AO197" s="104" t="s">
        <v>840</v>
      </c>
    </row>
    <row r="198" spans="3:43" x14ac:dyDescent="0.35">
      <c r="D198" s="27"/>
      <c r="F198" s="19" t="s">
        <v>156</v>
      </c>
      <c r="G198" s="19" t="s">
        <v>269</v>
      </c>
      <c r="H198" s="19"/>
      <c r="I198" s="19"/>
      <c r="J198" s="242"/>
      <c r="K198" s="242"/>
      <c r="L198" s="242"/>
      <c r="M198" s="242"/>
      <c r="N198" s="242"/>
      <c r="O198" s="242"/>
      <c r="P198" s="242"/>
      <c r="Q198" s="242"/>
      <c r="R198" s="242"/>
      <c r="S198" s="242"/>
      <c r="T198" s="242"/>
      <c r="U198" s="242"/>
      <c r="V198" s="242"/>
      <c r="W198" s="242"/>
      <c r="X198" s="242"/>
      <c r="Y198" s="242"/>
      <c r="Z198" s="242"/>
      <c r="AA198" s="242"/>
      <c r="AB198" s="242"/>
      <c r="AC198" s="242"/>
      <c r="AD198" s="242"/>
      <c r="AE198" s="242"/>
      <c r="AF198" s="242"/>
      <c r="AG198" s="242"/>
      <c r="AH198" s="242"/>
      <c r="AI198" s="242"/>
      <c r="AJ198" s="242"/>
      <c r="AK198" s="242"/>
      <c r="AL198" s="242"/>
      <c r="AM198" s="242"/>
      <c r="AN198" s="242"/>
      <c r="AO198" s="242"/>
    </row>
    <row r="199" spans="3:43" x14ac:dyDescent="0.35">
      <c r="D199" s="27"/>
      <c r="F199" t="s">
        <v>157</v>
      </c>
      <c r="G199" t="s">
        <v>269</v>
      </c>
      <c r="J199" s="325"/>
      <c r="K199" s="325"/>
      <c r="L199" s="325"/>
      <c r="M199" s="325"/>
      <c r="N199" s="325"/>
      <c r="O199" s="325"/>
      <c r="P199" s="325"/>
      <c r="Q199" s="325"/>
      <c r="R199" s="325"/>
      <c r="S199" s="325"/>
      <c r="T199" s="325"/>
      <c r="U199" s="325"/>
      <c r="V199" s="325"/>
      <c r="W199" s="325"/>
      <c r="X199" s="325"/>
      <c r="Y199" s="325"/>
      <c r="Z199" s="325"/>
      <c r="AA199" s="325"/>
      <c r="AB199" s="325"/>
      <c r="AC199" s="325"/>
      <c r="AD199" s="325"/>
      <c r="AE199" s="325"/>
      <c r="AF199" s="325"/>
      <c r="AG199" s="325"/>
      <c r="AH199" s="325"/>
      <c r="AI199" s="325"/>
      <c r="AJ199" s="325"/>
      <c r="AK199" s="325"/>
      <c r="AL199" s="325"/>
      <c r="AM199" s="325"/>
      <c r="AN199" s="325"/>
      <c r="AO199" s="325"/>
    </row>
    <row r="200" spans="3:43" x14ac:dyDescent="0.35">
      <c r="D200" s="27"/>
      <c r="F200" t="s">
        <v>158</v>
      </c>
      <c r="G200" t="s">
        <v>269</v>
      </c>
      <c r="J200" s="325"/>
      <c r="K200" s="325"/>
      <c r="L200" s="325"/>
      <c r="M200" s="325"/>
      <c r="N200" s="325"/>
      <c r="O200" s="325"/>
      <c r="P200" s="325"/>
      <c r="Q200" s="325"/>
      <c r="R200" s="325"/>
      <c r="S200" s="325"/>
      <c r="T200" s="325"/>
      <c r="U200" s="325"/>
      <c r="V200" s="325"/>
      <c r="W200" s="325"/>
      <c r="X200" s="325"/>
      <c r="Y200" s="325"/>
      <c r="Z200" s="325"/>
      <c r="AA200" s="325"/>
      <c r="AB200" s="325"/>
      <c r="AC200" s="325"/>
      <c r="AD200" s="325"/>
      <c r="AE200" s="325"/>
      <c r="AF200" s="325"/>
      <c r="AG200" s="325"/>
      <c r="AH200" s="325"/>
      <c r="AI200" s="325"/>
      <c r="AJ200" s="325"/>
      <c r="AK200" s="325"/>
      <c r="AL200" s="325"/>
      <c r="AM200" s="325"/>
      <c r="AN200" s="325"/>
      <c r="AO200" s="325"/>
    </row>
    <row r="201" spans="3:43" x14ac:dyDescent="0.35">
      <c r="D201" s="27"/>
      <c r="F201" t="s">
        <v>159</v>
      </c>
      <c r="G201" t="s">
        <v>270</v>
      </c>
      <c r="J201" s="325"/>
      <c r="K201" s="316"/>
      <c r="L201" s="325"/>
      <c r="M201" s="325"/>
      <c r="N201" s="325"/>
      <c r="O201" s="325"/>
      <c r="P201" s="325"/>
      <c r="Q201" s="316"/>
      <c r="R201" s="325"/>
      <c r="S201" s="325"/>
      <c r="T201" s="325"/>
      <c r="U201" s="325"/>
      <c r="V201" s="325"/>
      <c r="W201" s="325"/>
      <c r="X201" s="325"/>
      <c r="Y201" s="325"/>
      <c r="Z201" s="325"/>
      <c r="AA201" s="325"/>
      <c r="AB201" s="325"/>
      <c r="AC201" s="325"/>
      <c r="AD201" s="325"/>
      <c r="AE201" s="325"/>
      <c r="AF201" s="325"/>
      <c r="AG201" s="316"/>
      <c r="AH201" s="316"/>
      <c r="AI201" s="316"/>
      <c r="AJ201" s="316"/>
      <c r="AK201" s="316"/>
      <c r="AL201" s="316"/>
      <c r="AM201" s="316"/>
      <c r="AN201" s="325"/>
      <c r="AO201" s="325"/>
    </row>
    <row r="202" spans="3:43" x14ac:dyDescent="0.35">
      <c r="D202" s="27"/>
      <c r="F202" t="s">
        <v>160</v>
      </c>
      <c r="G202" t="s">
        <v>271</v>
      </c>
      <c r="J202" s="316"/>
      <c r="K202" s="316"/>
      <c r="L202" s="316"/>
      <c r="M202" s="316"/>
      <c r="N202" s="316"/>
      <c r="O202" s="316"/>
      <c r="P202" s="316"/>
      <c r="Q202" s="316"/>
      <c r="R202" s="325"/>
      <c r="S202" s="325"/>
      <c r="T202" s="325"/>
      <c r="U202" s="325"/>
      <c r="V202" s="325"/>
      <c r="W202" s="325"/>
      <c r="X202" s="325"/>
      <c r="Y202" s="325"/>
      <c r="Z202" s="325"/>
      <c r="AA202" s="325"/>
      <c r="AB202" s="325"/>
      <c r="AC202" s="325"/>
      <c r="AD202" s="325"/>
      <c r="AE202" s="325"/>
      <c r="AF202" s="325"/>
      <c r="AG202" s="316"/>
      <c r="AH202" s="316"/>
      <c r="AI202" s="316"/>
      <c r="AJ202" s="316"/>
      <c r="AK202" s="316"/>
      <c r="AL202" s="316"/>
      <c r="AM202" s="316"/>
      <c r="AN202" s="316"/>
      <c r="AO202" s="316"/>
    </row>
    <row r="203" spans="3:43" x14ac:dyDescent="0.35">
      <c r="D203" s="370"/>
      <c r="F203" t="s">
        <v>161</v>
      </c>
      <c r="G203" t="s">
        <v>271</v>
      </c>
      <c r="J203" s="316"/>
      <c r="K203" s="316"/>
      <c r="L203" s="316"/>
      <c r="M203" s="316"/>
      <c r="N203" s="316"/>
      <c r="O203" s="316"/>
      <c r="P203" s="316"/>
      <c r="Q203" s="316"/>
      <c r="R203" s="325"/>
      <c r="S203" s="325"/>
      <c r="T203" s="325"/>
      <c r="U203" s="325"/>
      <c r="V203" s="325"/>
      <c r="W203" s="325"/>
      <c r="X203" s="325"/>
      <c r="Y203" s="325"/>
      <c r="Z203" s="325"/>
      <c r="AA203" s="325"/>
      <c r="AB203" s="325"/>
      <c r="AC203" s="325"/>
      <c r="AD203" s="325"/>
      <c r="AE203" s="325"/>
      <c r="AF203" s="325"/>
      <c r="AG203" s="316"/>
      <c r="AH203" s="316"/>
      <c r="AI203" s="316"/>
      <c r="AJ203" s="316"/>
      <c r="AK203" s="316"/>
      <c r="AL203" s="316"/>
      <c r="AM203" s="316"/>
      <c r="AN203" s="316"/>
      <c r="AO203" s="316"/>
    </row>
    <row r="204" spans="3:43" x14ac:dyDescent="0.35">
      <c r="D204" s="370"/>
      <c r="F204" s="28" t="s">
        <v>162</v>
      </c>
      <c r="G204" s="28" t="s">
        <v>272</v>
      </c>
      <c r="H204" s="28"/>
      <c r="I204" s="28"/>
      <c r="J204" s="71"/>
      <c r="K204" s="71"/>
      <c r="L204" s="71"/>
      <c r="M204" s="71"/>
      <c r="N204" s="71"/>
      <c r="O204" s="71"/>
      <c r="P204" s="71"/>
      <c r="Q204" s="71"/>
      <c r="R204" s="245"/>
      <c r="S204" s="245"/>
      <c r="T204" s="245"/>
      <c r="U204" s="245"/>
      <c r="V204" s="245"/>
      <c r="W204" s="245"/>
      <c r="X204" s="245"/>
      <c r="Y204" s="245"/>
      <c r="Z204" s="245"/>
      <c r="AA204" s="245"/>
      <c r="AB204" s="245"/>
      <c r="AC204" s="245"/>
      <c r="AD204" s="245"/>
      <c r="AE204" s="245"/>
      <c r="AF204" s="245"/>
      <c r="AG204" s="71"/>
      <c r="AH204" s="245"/>
      <c r="AI204" s="245"/>
      <c r="AJ204" s="245"/>
      <c r="AK204" s="71"/>
      <c r="AL204" s="245"/>
      <c r="AM204" s="71"/>
      <c r="AN204" s="245"/>
      <c r="AO204" s="71"/>
    </row>
    <row r="205" spans="3:43" x14ac:dyDescent="0.35">
      <c r="G205" s="12"/>
      <c r="J205" s="79"/>
      <c r="K205" s="79"/>
      <c r="L205" s="79"/>
      <c r="M205" s="79"/>
      <c r="N205" s="79"/>
      <c r="O205" s="79"/>
      <c r="P205" s="79"/>
      <c r="Q205" s="79"/>
      <c r="R205" s="79"/>
      <c r="S205" s="79"/>
      <c r="T205" s="79"/>
      <c r="U205" s="79"/>
      <c r="V205" s="79"/>
      <c r="W205" s="79"/>
      <c r="X205" s="79"/>
      <c r="Y205" s="79"/>
      <c r="Z205" s="79"/>
      <c r="AA205" s="79"/>
      <c r="AB205" s="79"/>
      <c r="AC205" s="79"/>
      <c r="AD205" s="79"/>
      <c r="AE205" s="79"/>
      <c r="AF205" s="79"/>
      <c r="AG205" s="79"/>
      <c r="AH205" s="79"/>
      <c r="AI205" s="79"/>
      <c r="AJ205" s="79"/>
      <c r="AK205" s="79"/>
      <c r="AL205" s="79"/>
      <c r="AM205" s="79"/>
      <c r="AN205" s="79"/>
      <c r="AO205" s="79"/>
    </row>
    <row r="206" spans="3:43" x14ac:dyDescent="0.35">
      <c r="C206" s="26" t="str">
        <f ca="1">INDEX('Version control'!$H$38:$H$61,MATCH($A$1,'Version control'!$F$38:$F$61,0),1)&amp;"-F: Previous year net revenue (if known)"</f>
        <v>Input 102-F: Previous year net revenue (if known)</v>
      </c>
      <c r="D206" s="26"/>
      <c r="E206" s="26"/>
      <c r="F206" s="26"/>
      <c r="G206" s="26"/>
      <c r="H206" s="26"/>
      <c r="I206" s="26"/>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26"/>
      <c r="AQ206" s="26"/>
    </row>
    <row r="207" spans="3:43" x14ac:dyDescent="0.35">
      <c r="F207" s="77"/>
      <c r="G207" s="62"/>
      <c r="J207" s="79"/>
      <c r="K207" s="79"/>
      <c r="L207" s="79"/>
      <c r="M207" s="79"/>
      <c r="N207" s="79"/>
      <c r="O207" s="79"/>
      <c r="P207" s="79"/>
      <c r="Q207" s="79"/>
      <c r="R207" s="79"/>
      <c r="S207" s="79"/>
      <c r="T207" s="79"/>
      <c r="U207" s="79"/>
      <c r="V207" s="79"/>
      <c r="W207" s="79"/>
      <c r="X207" s="79"/>
      <c r="Y207" s="79"/>
      <c r="Z207" s="79"/>
      <c r="AA207" s="79"/>
      <c r="AB207" s="79"/>
      <c r="AC207" s="79"/>
      <c r="AD207" s="79"/>
      <c r="AE207" s="79"/>
      <c r="AF207" s="79"/>
      <c r="AG207" s="79"/>
      <c r="AH207" s="79"/>
      <c r="AI207" s="79"/>
      <c r="AJ207" s="79"/>
      <c r="AK207" s="79"/>
      <c r="AL207" s="79"/>
      <c r="AM207" s="79"/>
      <c r="AN207" s="79"/>
      <c r="AO207" s="79"/>
    </row>
    <row r="208" spans="3:43" x14ac:dyDescent="0.35">
      <c r="D208" s="24" t="s">
        <v>273</v>
      </c>
      <c r="G208" s="12"/>
      <c r="J208" s="79"/>
      <c r="K208" s="79"/>
      <c r="L208" s="79"/>
      <c r="M208" s="79"/>
      <c r="N208" s="79"/>
      <c r="O208" s="79"/>
      <c r="P208" s="79"/>
      <c r="Q208" s="79"/>
      <c r="R208" s="79"/>
      <c r="S208" s="79"/>
      <c r="T208" s="79"/>
      <c r="U208" s="79"/>
      <c r="V208" s="79"/>
      <c r="W208" s="79"/>
      <c r="X208" s="79"/>
      <c r="Y208" s="79"/>
      <c r="Z208" s="79"/>
      <c r="AA208" s="79"/>
      <c r="AB208" s="79"/>
      <c r="AC208" s="79"/>
      <c r="AD208" s="79"/>
      <c r="AE208" s="79"/>
      <c r="AF208" s="79"/>
      <c r="AG208" s="79"/>
      <c r="AH208" s="79"/>
      <c r="AI208" s="79"/>
      <c r="AJ208" s="79"/>
      <c r="AK208" s="79"/>
      <c r="AL208" s="79"/>
      <c r="AM208" s="79"/>
      <c r="AN208" s="79"/>
      <c r="AO208" s="79"/>
    </row>
    <row r="209" spans="2:43" x14ac:dyDescent="0.35">
      <c r="D209" s="81" t="s">
        <v>274</v>
      </c>
      <c r="G209" s="12"/>
      <c r="J209" s="79"/>
      <c r="K209" s="79"/>
      <c r="L209" s="79"/>
      <c r="M209" s="79"/>
      <c r="N209" s="79"/>
      <c r="O209" s="79"/>
      <c r="P209" s="79"/>
      <c r="Q209" s="79"/>
      <c r="R209" s="79"/>
      <c r="S209" s="79"/>
      <c r="T209" s="79"/>
      <c r="U209" s="79"/>
      <c r="V209" s="79"/>
      <c r="W209" s="79"/>
      <c r="X209" s="79"/>
      <c r="Y209" s="79"/>
      <c r="Z209" s="79"/>
      <c r="AA209" s="79"/>
      <c r="AB209" s="79"/>
      <c r="AC209" s="79"/>
      <c r="AD209" s="79"/>
      <c r="AE209" s="79"/>
      <c r="AF209" s="79"/>
      <c r="AG209" s="79"/>
      <c r="AH209" s="79"/>
      <c r="AI209" s="79"/>
      <c r="AJ209" s="79"/>
      <c r="AK209" s="79"/>
      <c r="AL209" s="79"/>
      <c r="AM209" s="79"/>
      <c r="AN209" s="79"/>
      <c r="AO209" s="79"/>
    </row>
    <row r="210" spans="2:43" x14ac:dyDescent="0.35">
      <c r="D210" s="24" t="s">
        <v>275</v>
      </c>
      <c r="G210" s="12"/>
      <c r="J210" s="79"/>
      <c r="K210" s="79"/>
      <c r="L210" s="79"/>
      <c r="M210" s="79"/>
      <c r="N210" s="79"/>
      <c r="O210" s="79"/>
      <c r="P210" s="79"/>
      <c r="Q210" s="79"/>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row>
    <row r="211" spans="2:43" x14ac:dyDescent="0.35">
      <c r="G211" s="12"/>
      <c r="J211" s="79"/>
      <c r="K211" s="79"/>
      <c r="L211" s="79"/>
      <c r="M211" s="79"/>
      <c r="N211" s="79"/>
      <c r="O211" s="79"/>
      <c r="P211" s="79"/>
      <c r="Q211" s="79"/>
      <c r="R211" s="79"/>
      <c r="S211" s="79"/>
      <c r="T211" s="79"/>
      <c r="U211" s="79"/>
      <c r="V211" s="79"/>
      <c r="W211" s="79"/>
      <c r="X211" s="79"/>
      <c r="Y211" s="79"/>
      <c r="Z211" s="79"/>
      <c r="AA211" s="79"/>
      <c r="AB211" s="79"/>
      <c r="AC211" s="79"/>
      <c r="AD211" s="79"/>
      <c r="AE211" s="79"/>
      <c r="AF211" s="79"/>
      <c r="AG211" s="79"/>
      <c r="AH211" s="79"/>
      <c r="AI211" s="79"/>
      <c r="AJ211" s="79"/>
      <c r="AK211" s="79"/>
      <c r="AL211" s="79"/>
      <c r="AM211" s="79"/>
      <c r="AN211" s="79"/>
      <c r="AO211" s="79"/>
    </row>
    <row r="212" spans="2:43" ht="43.5" x14ac:dyDescent="0.35">
      <c r="J212" s="374" t="s">
        <v>908</v>
      </c>
      <c r="K212" s="374" t="s">
        <v>829</v>
      </c>
      <c r="L212" s="374" t="s">
        <v>909</v>
      </c>
      <c r="M212" s="374" t="s">
        <v>910</v>
      </c>
      <c r="N212" s="374" t="s">
        <v>911</v>
      </c>
      <c r="O212" s="374" t="s">
        <v>912</v>
      </c>
      <c r="P212" s="374" t="s">
        <v>913</v>
      </c>
      <c r="Q212" s="374" t="s">
        <v>830</v>
      </c>
      <c r="R212" s="374" t="s">
        <v>914</v>
      </c>
      <c r="S212" s="374" t="s">
        <v>915</v>
      </c>
      <c r="T212" s="374" t="s">
        <v>916</v>
      </c>
      <c r="U212" s="374" t="s">
        <v>917</v>
      </c>
      <c r="V212" s="374" t="s">
        <v>918</v>
      </c>
      <c r="W212" s="374" t="s">
        <v>919</v>
      </c>
      <c r="X212" s="374" t="s">
        <v>920</v>
      </c>
      <c r="Y212" s="374" t="s">
        <v>921</v>
      </c>
      <c r="Z212" s="374" t="s">
        <v>922</v>
      </c>
      <c r="AA212" s="374" t="s">
        <v>923</v>
      </c>
      <c r="AB212" s="374" t="s">
        <v>924</v>
      </c>
      <c r="AC212" s="374" t="s">
        <v>925</v>
      </c>
      <c r="AD212" s="374" t="s">
        <v>926</v>
      </c>
      <c r="AE212" s="374" t="s">
        <v>927</v>
      </c>
      <c r="AF212" s="374" t="s">
        <v>928</v>
      </c>
      <c r="AG212" s="374" t="s">
        <v>839</v>
      </c>
      <c r="AH212" s="374" t="s">
        <v>831</v>
      </c>
      <c r="AI212" s="374" t="s">
        <v>832</v>
      </c>
      <c r="AJ212" s="374" t="s">
        <v>833</v>
      </c>
      <c r="AK212" s="374" t="s">
        <v>842</v>
      </c>
      <c r="AL212" s="374" t="s">
        <v>834</v>
      </c>
      <c r="AM212" s="374" t="s">
        <v>841</v>
      </c>
      <c r="AN212" s="374" t="s">
        <v>835</v>
      </c>
      <c r="AO212" s="374" t="s">
        <v>840</v>
      </c>
    </row>
    <row r="213" spans="2:43" x14ac:dyDescent="0.35">
      <c r="E213" s="23" t="s">
        <v>276</v>
      </c>
      <c r="G213" t="s">
        <v>277</v>
      </c>
      <c r="J213" s="325"/>
      <c r="K213" s="325"/>
      <c r="L213" s="325"/>
      <c r="M213" s="325"/>
      <c r="N213" s="325"/>
      <c r="O213" s="325"/>
      <c r="P213" s="325"/>
      <c r="Q213" s="325"/>
      <c r="R213" s="325"/>
      <c r="S213" s="325"/>
      <c r="T213" s="325"/>
      <c r="U213" s="325"/>
      <c r="V213" s="325"/>
      <c r="W213" s="325"/>
      <c r="X213" s="325"/>
      <c r="Y213" s="325"/>
      <c r="Z213" s="325"/>
      <c r="AA213" s="325"/>
      <c r="AB213" s="325"/>
      <c r="AC213" s="325"/>
      <c r="AD213" s="325"/>
      <c r="AE213" s="325"/>
      <c r="AF213" s="325"/>
      <c r="AG213" s="325"/>
      <c r="AH213" s="325"/>
      <c r="AI213" s="325"/>
      <c r="AJ213" s="325"/>
      <c r="AK213" s="325"/>
      <c r="AL213" s="325"/>
      <c r="AM213" s="325"/>
      <c r="AN213" s="325"/>
      <c r="AO213" s="325"/>
    </row>
    <row r="214" spans="2:43" x14ac:dyDescent="0.35">
      <c r="G214" s="12"/>
    </row>
    <row r="215" spans="2:43" x14ac:dyDescent="0.35">
      <c r="B215" s="25" t="s">
        <v>231</v>
      </c>
      <c r="C215" s="25"/>
      <c r="D215" s="25"/>
      <c r="E215" s="25"/>
      <c r="F215" s="25"/>
      <c r="G215" s="82"/>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row>
    <row r="216" spans="2:43" x14ac:dyDescent="0.35">
      <c r="G216" s="12"/>
    </row>
    <row r="217" spans="2:43" x14ac:dyDescent="0.35">
      <c r="E217" s="27" t="s">
        <v>1113</v>
      </c>
      <c r="G217" s="12"/>
    </row>
    <row r="218" spans="2:43" x14ac:dyDescent="0.35">
      <c r="E218" s="27"/>
      <c r="F218" s="68" t="s">
        <v>247</v>
      </c>
      <c r="G218" s="68" t="s">
        <v>209</v>
      </c>
      <c r="H218" s="394" t="b">
        <f>SUM(J169:N169)=1</f>
        <v>1</v>
      </c>
    </row>
    <row r="219" spans="2:43" x14ac:dyDescent="0.35">
      <c r="E219" s="27"/>
      <c r="F219" s="336" t="s">
        <v>248</v>
      </c>
      <c r="G219" s="336" t="s">
        <v>209</v>
      </c>
      <c r="H219" s="395" t="b">
        <f t="shared" ref="H219:H220" si="0">SUM(J170:N170)=1</f>
        <v>1</v>
      </c>
    </row>
    <row r="220" spans="2:43" x14ac:dyDescent="0.35">
      <c r="E220" s="27"/>
      <c r="F220" s="70" t="s">
        <v>249</v>
      </c>
      <c r="G220" s="70" t="s">
        <v>209</v>
      </c>
      <c r="H220" s="396" t="b">
        <f t="shared" si="0"/>
        <v>1</v>
      </c>
    </row>
    <row r="221" spans="2:43" x14ac:dyDescent="0.35">
      <c r="E221" s="250"/>
      <c r="F221" s="225"/>
      <c r="G221" s="225"/>
      <c r="H221" s="249"/>
    </row>
    <row r="222" spans="2:43" x14ac:dyDescent="0.35">
      <c r="E222" s="27" t="s">
        <v>1114</v>
      </c>
      <c r="G222" s="12"/>
    </row>
    <row r="223" spans="2:43" x14ac:dyDescent="0.35">
      <c r="E223" s="27"/>
      <c r="F223" s="68" t="s">
        <v>247</v>
      </c>
      <c r="G223" s="68" t="s">
        <v>209</v>
      </c>
      <c r="H223" s="394" t="b">
        <f>SUM(J174:N174)=1</f>
        <v>1</v>
      </c>
    </row>
    <row r="224" spans="2:43" x14ac:dyDescent="0.35">
      <c r="E224" s="27"/>
      <c r="F224" s="336" t="s">
        <v>248</v>
      </c>
      <c r="G224" s="336" t="s">
        <v>209</v>
      </c>
      <c r="H224" s="395" t="b">
        <f t="shared" ref="H224:H225" si="1">SUM(J175:N175)=1</f>
        <v>1</v>
      </c>
    </row>
    <row r="225" spans="2:43" x14ac:dyDescent="0.35">
      <c r="E225" s="27"/>
      <c r="F225" s="70" t="s">
        <v>249</v>
      </c>
      <c r="G225" s="70" t="s">
        <v>209</v>
      </c>
      <c r="H225" s="396" t="b">
        <f t="shared" si="1"/>
        <v>1</v>
      </c>
    </row>
    <row r="226" spans="2:43" x14ac:dyDescent="0.35">
      <c r="E226" s="250"/>
      <c r="F226" s="225"/>
      <c r="G226" s="225"/>
      <c r="H226" s="249"/>
    </row>
    <row r="227" spans="2:43" x14ac:dyDescent="0.35">
      <c r="E227" s="27" t="s">
        <v>1115</v>
      </c>
      <c r="G227" s="12"/>
    </row>
    <row r="228" spans="2:43" x14ac:dyDescent="0.35">
      <c r="E228" s="27"/>
      <c r="F228" s="68" t="s">
        <v>247</v>
      </c>
      <c r="G228" s="68" t="s">
        <v>209</v>
      </c>
      <c r="H228" s="394" t="b">
        <f>SUM(J179:N179)=1</f>
        <v>1</v>
      </c>
    </row>
    <row r="229" spans="2:43" x14ac:dyDescent="0.35">
      <c r="E229" s="27"/>
      <c r="F229" s="336" t="s">
        <v>248</v>
      </c>
      <c r="G229" s="336" t="s">
        <v>209</v>
      </c>
      <c r="H229" s="395" t="b">
        <f t="shared" ref="H229:H230" si="2">SUM(J180:N180)=1</f>
        <v>1</v>
      </c>
    </row>
    <row r="230" spans="2:43" x14ac:dyDescent="0.35">
      <c r="E230" s="27"/>
      <c r="F230" s="70" t="s">
        <v>249</v>
      </c>
      <c r="G230" s="70" t="s">
        <v>209</v>
      </c>
      <c r="H230" s="396" t="b">
        <f t="shared" si="2"/>
        <v>1</v>
      </c>
    </row>
    <row r="231" spans="2:43" x14ac:dyDescent="0.35">
      <c r="G231" s="12"/>
    </row>
    <row r="232" spans="2:43" x14ac:dyDescent="0.35">
      <c r="E232" t="s">
        <v>1116</v>
      </c>
      <c r="G232" s="6" t="s">
        <v>55</v>
      </c>
      <c r="H232" s="20">
        <f>COUNTIF(H218:H230,FALSE)</f>
        <v>0</v>
      </c>
    </row>
    <row r="233" spans="2:43" x14ac:dyDescent="0.35">
      <c r="G233" s="12"/>
    </row>
    <row r="234" spans="2:43" x14ac:dyDescent="0.35">
      <c r="E234" t="s">
        <v>232</v>
      </c>
      <c r="G234" s="6" t="s">
        <v>55</v>
      </c>
      <c r="H234" s="20">
        <f t="array" ref="H234">SUM(IF(ISERROR(H13:Y214), 1))</f>
        <v>0</v>
      </c>
    </row>
    <row r="235" spans="2:43" x14ac:dyDescent="0.35">
      <c r="G235" s="12"/>
    </row>
    <row r="236" spans="2:43" x14ac:dyDescent="0.35">
      <c r="E236" t="s">
        <v>239</v>
      </c>
      <c r="G236" s="6" t="s">
        <v>55</v>
      </c>
      <c r="H236" s="93">
        <f xml:space="preserve"> H232 + H234</f>
        <v>0</v>
      </c>
    </row>
    <row r="238" spans="2:43" x14ac:dyDescent="0.35">
      <c r="B238" s="25" t="s">
        <v>106</v>
      </c>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row>
  </sheetData>
  <sheetProtection formatCells="0" formatColumns="0" formatRows="0" sort="0" autoFilter="0"/>
  <conditionalFormatting sqref="A4:I4 AP4:XFD4">
    <cfRule type="expression" dxfId="206" priority="105">
      <formula>LEFT($A$4,1) &lt;&gt; "0"</formula>
    </cfRule>
  </conditionalFormatting>
  <conditionalFormatting sqref="N4:P4">
    <cfRule type="expression" dxfId="205" priority="68">
      <formula>LEFT($A$4,1) &lt;&gt; "0"</formula>
    </cfRule>
  </conditionalFormatting>
  <conditionalFormatting sqref="L4:M4">
    <cfRule type="expression" dxfId="204" priority="64">
      <formula>LEFT($A$4,1) &lt;&gt; "0"</formula>
    </cfRule>
  </conditionalFormatting>
  <conditionalFormatting sqref="J4:K4">
    <cfRule type="expression" dxfId="203" priority="60">
      <formula>LEFT($A$4,1) &lt;&gt; "0"</formula>
    </cfRule>
  </conditionalFormatting>
  <conditionalFormatting sqref="Q4">
    <cfRule type="expression" dxfId="202" priority="56">
      <formula>LEFT($A$4,1) &lt;&gt; "0"</formula>
    </cfRule>
  </conditionalFormatting>
  <conditionalFormatting sqref="R4:S4">
    <cfRule type="expression" dxfId="201" priority="55">
      <formula>LEFT($A$4,1) &lt;&gt; "0"</formula>
    </cfRule>
  </conditionalFormatting>
  <conditionalFormatting sqref="T4:U4">
    <cfRule type="expression" dxfId="200" priority="50">
      <formula>LEFT($A$4,1) &lt;&gt; "0"</formula>
    </cfRule>
  </conditionalFormatting>
  <conditionalFormatting sqref="V4:W4">
    <cfRule type="expression" dxfId="199" priority="45">
      <formula>LEFT($A$4,1) &lt;&gt; "0"</formula>
    </cfRule>
  </conditionalFormatting>
  <conditionalFormatting sqref="X4:AO4">
    <cfRule type="expression" dxfId="198" priority="39">
      <formula>LEFT($A$4,1) &lt;&gt; "0"</formula>
    </cfRule>
  </conditionalFormatting>
  <conditionalFormatting sqref="H232">
    <cfRule type="cellIs" dxfId="197" priority="4" operator="greaterThan">
      <formula>0</formula>
    </cfRule>
  </conditionalFormatting>
  <conditionalFormatting sqref="H234">
    <cfRule type="cellIs" dxfId="196" priority="3" operator="greaterThan">
      <formula>0</formula>
    </cfRule>
  </conditionalFormatting>
  <conditionalFormatting sqref="H236">
    <cfRule type="cellIs" dxfId="19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xr:uid="{00000000-0002-0000-0600-000000000000}">
      <formula1>0</formula1>
      <formula2>1</formula2>
    </dataValidation>
    <dataValidation type="textLength" operator="equal" allowBlank="1" showInputMessage="1" showErrorMessage="1" error="This cell is not in use." sqref="Y185 Y207:AO207 Y193:AO193 Y190:Y191" xr:uid="{00000000-0002-0000-0600-000002000000}">
      <formula1>0</formula1>
    </dataValidation>
    <dataValidation type="decimal" operator="greaterThanOrEqual" allowBlank="1" showInputMessage="1" showErrorMessage="1" errorTitle="Invalid volume data" error="Invalid volume data (negative number or unused cell)." sqref="J187:Y188 J185:Y185 J207:AO207 J193:AO193 J190:Y191 J41:Y48 J135:Y142 J32:Y39 J59:Y66 J50:Y57 J70:Y77 J23:Y30 J126:Y133 J144:Y151 J153:Y160 J182:Y182 K169:N172 J117:Y124 K174:N177 J79:Y86 J88:Y95 J97:Y104 J106:Y113 K179:N181" xr:uid="{00000000-0002-0000-0600-000003000000}">
      <formula1>0</formula1>
    </dataValidation>
    <dataValidation allowBlank="1" sqref="J213:AO213" xr:uid="{00000000-0002-0000-0600-000005000000}"/>
    <dataValidation type="decimal" operator="greaterThanOrEqual" allowBlank="1" showInputMessage="1" showErrorMessage="1" sqref="Y182 Y15:Y116 Y124:Y160" xr:uid="{D98DE04A-625D-4FF5-BFC5-D4CAD8501B89}">
      <formula1>0</formula1>
    </dataValidation>
    <dataValidation type="decimal" allowBlank="1" showInputMessage="1" showErrorMessage="1" errorTitle="Invalid load factor" error="The load factor must be between 0% and 100%." sqref="J15:P15 Q15:Q16" xr:uid="{00000000-0002-0000-0600-000001000000}">
      <formula1>0</formula1>
      <formula2>1</formula2>
    </dataValidation>
  </dataValidations>
  <hyperlinks>
    <hyperlink ref="B5:F5" location="'Model map'!A1" display="Click here to return to model map" xr:uid="{00000000-0004-0000-06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1">
    <tabColor theme="5" tint="0.59999389629810485"/>
    <pageSetUpPr fitToPage="1"/>
  </sheetPr>
  <dimension ref="A1:IV58"/>
  <sheetViews>
    <sheetView showGridLines="0" zoomScale="80" zoomScaleNormal="80" workbookViewId="0">
      <pane xSplit="9" ySplit="5" topLeftCell="N6" activePane="bottomRight" state="frozen"/>
      <selection pane="topRight"/>
      <selection pane="bottomLeft"/>
      <selection pane="bottomRight"/>
    </sheetView>
  </sheetViews>
  <sheetFormatPr defaultColWidth="0" defaultRowHeight="14.5" x14ac:dyDescent="0.35"/>
  <cols>
    <col min="1" max="5" width="2.54296875" customWidth="1"/>
    <col min="6" max="6" width="59.54296875" customWidth="1"/>
    <col min="7" max="8" width="20.54296875" customWidth="1"/>
    <col min="9" max="9" width="2.453125" customWidth="1"/>
    <col min="10" max="19" width="17" customWidth="1"/>
    <col min="20" max="20" width="2.453125" customWidth="1"/>
    <col min="21" max="21" width="50.54296875" customWidth="1"/>
    <col min="22" max="22" width="2.453125" customWidth="1"/>
    <col min="23" max="27" width="20.54296875" hidden="1" customWidth="1"/>
    <col min="28" max="28" width="2.54296875" hidden="1" customWidth="1"/>
    <col min="29" max="256" width="20.54296875" hidden="1" customWidth="1"/>
    <col min="257" max="16384" width="9.453125" hidden="1"/>
  </cols>
  <sheetData>
    <row r="1" spans="1:27" s="1" customFormat="1" x14ac:dyDescent="0.35">
      <c r="A1" s="1" t="str">
        <f ca="1">MID(CELL("filename",A1),FIND("]",CELL("filename",A1))+1,255)</f>
        <v>Inputs by network level</v>
      </c>
    </row>
    <row r="2" spans="1:27" s="1" customFormat="1" x14ac:dyDescent="0.35">
      <c r="A2" s="1" t="str">
        <f>Cover!D21&amp;" - "&amp;Cover!D23</f>
        <v>Southern Electric Power Distribution - Final</v>
      </c>
    </row>
    <row r="3" spans="1:27" s="5" customFormat="1" x14ac:dyDescent="0.35">
      <c r="A3" s="5" t="str">
        <f>Cover!D2&amp;" - "&amp;Cover!D8&amp;" v"&amp;Cover!D10&amp;" - "&amp;Cover!D19</f>
        <v>CDCM charging model - Release for charge setting v9 - 2024/25</v>
      </c>
    </row>
    <row r="4" spans="1:27" x14ac:dyDescent="0.35">
      <c r="A4" s="11" t="str">
        <f>H56 &amp; IF(H56 = 1, " issue", " issues") &amp;" identified in checks on this sheet"</f>
        <v>0 issues identified in checks on this sheet</v>
      </c>
      <c r="B4" s="12"/>
      <c r="C4" s="12"/>
      <c r="D4" s="12"/>
      <c r="E4" s="12"/>
      <c r="F4" s="12"/>
      <c r="G4" s="12"/>
      <c r="H4" s="13"/>
      <c r="I4" s="13"/>
      <c r="J4" s="12"/>
    </row>
    <row r="5" spans="1:27" x14ac:dyDescent="0.35">
      <c r="B5" s="49" t="s">
        <v>142</v>
      </c>
      <c r="C5" s="50"/>
      <c r="D5" s="50"/>
      <c r="E5" s="50"/>
      <c r="F5" s="50"/>
      <c r="G5" s="1" t="s">
        <v>143</v>
      </c>
      <c r="H5" s="83" t="s">
        <v>144</v>
      </c>
      <c r="I5" s="13"/>
      <c r="J5" s="83" t="s">
        <v>189</v>
      </c>
      <c r="K5" s="83" t="s">
        <v>191</v>
      </c>
      <c r="L5" s="83" t="s">
        <v>192</v>
      </c>
      <c r="M5" s="83" t="s">
        <v>193</v>
      </c>
      <c r="N5" s="83" t="s">
        <v>194</v>
      </c>
      <c r="O5" s="83" t="s">
        <v>195</v>
      </c>
      <c r="P5" s="83" t="s">
        <v>196</v>
      </c>
      <c r="Q5" s="83" t="s">
        <v>197</v>
      </c>
      <c r="R5" s="83" t="s">
        <v>198</v>
      </c>
      <c r="S5" s="83" t="s">
        <v>199</v>
      </c>
      <c r="U5" s="51" t="s">
        <v>145</v>
      </c>
    </row>
    <row r="7" spans="1:27" x14ac:dyDescent="0.35">
      <c r="B7" s="25" t="s">
        <v>10</v>
      </c>
      <c r="C7" s="25"/>
      <c r="D7" s="25"/>
      <c r="E7" s="25"/>
      <c r="F7" s="25"/>
      <c r="G7" s="25"/>
      <c r="H7" s="25"/>
      <c r="I7" s="25"/>
      <c r="J7" s="25"/>
      <c r="K7" s="25"/>
      <c r="L7" s="25"/>
      <c r="M7" s="25"/>
      <c r="N7" s="25"/>
      <c r="O7" s="25"/>
      <c r="P7" s="25"/>
      <c r="Q7" s="25"/>
      <c r="R7" s="25"/>
      <c r="S7" s="25"/>
      <c r="T7" s="25"/>
      <c r="U7" s="25"/>
      <c r="W7" s="25"/>
      <c r="X7" s="25"/>
      <c r="Y7" s="25"/>
      <c r="Z7" s="25"/>
      <c r="AA7" s="25"/>
    </row>
    <row r="9" spans="1:27" x14ac:dyDescent="0.35">
      <c r="C9" s="24" t="s">
        <v>278</v>
      </c>
    </row>
    <row r="11" spans="1:27" x14ac:dyDescent="0.35">
      <c r="B11" s="25" t="s">
        <v>58</v>
      </c>
      <c r="C11" s="25"/>
      <c r="D11" s="25"/>
      <c r="E11" s="25"/>
      <c r="F11" s="25"/>
      <c r="G11" s="25"/>
      <c r="H11" s="25"/>
      <c r="I11" s="25"/>
      <c r="J11" s="25"/>
      <c r="K11" s="25"/>
      <c r="L11" s="25"/>
      <c r="M11" s="25"/>
      <c r="N11" s="25"/>
      <c r="O11" s="25"/>
      <c r="P11" s="25"/>
      <c r="Q11" s="25"/>
      <c r="R11" s="25"/>
      <c r="S11" s="25"/>
      <c r="T11" s="25"/>
      <c r="U11" s="25"/>
      <c r="W11" s="25"/>
      <c r="X11" s="25"/>
      <c r="Y11" s="25"/>
      <c r="Z11" s="25"/>
      <c r="AA11" s="25"/>
    </row>
    <row r="13" spans="1:27" x14ac:dyDescent="0.35">
      <c r="C13" s="26" t="str">
        <f ca="1">INDEX('Version control'!$H$38:$H$61,MATCH($A$1,'Version control'!$F$38:$F$61,0),1)&amp;"-A: Network and load inputs"</f>
        <v>Input 103-A: Network and load inputs</v>
      </c>
      <c r="D13" s="26"/>
      <c r="E13" s="26"/>
      <c r="F13" s="26"/>
      <c r="G13" s="26"/>
      <c r="H13" s="26"/>
      <c r="I13" s="26"/>
      <c r="J13" s="26"/>
      <c r="K13" s="26"/>
      <c r="L13" s="26"/>
      <c r="M13" s="26"/>
      <c r="N13" s="26"/>
      <c r="O13" s="26"/>
      <c r="P13" s="26"/>
      <c r="Q13" s="26"/>
      <c r="R13" s="26"/>
      <c r="S13" s="26"/>
      <c r="T13" s="26"/>
      <c r="U13" s="26"/>
      <c r="W13" s="25"/>
      <c r="X13" s="25"/>
      <c r="Y13" s="25"/>
      <c r="Z13" s="25"/>
      <c r="AA13" s="25"/>
    </row>
    <row r="15" spans="1:27" x14ac:dyDescent="0.35">
      <c r="E15" s="23" t="s">
        <v>279</v>
      </c>
      <c r="G15" s="23" t="s">
        <v>167</v>
      </c>
      <c r="I15" t="s">
        <v>154</v>
      </c>
      <c r="J15" s="84"/>
      <c r="K15" s="248">
        <v>4.4943759092979985E-2</v>
      </c>
      <c r="L15" s="248">
        <v>3.0559018482089195E-2</v>
      </c>
      <c r="M15" s="84"/>
      <c r="N15" s="248">
        <v>7.7143589516973421E-2</v>
      </c>
      <c r="O15" s="84"/>
      <c r="P15" s="67"/>
      <c r="Q15" s="248">
        <v>0.37</v>
      </c>
      <c r="R15" s="56"/>
      <c r="S15" s="56"/>
      <c r="U15" s="53" t="s">
        <v>280</v>
      </c>
    </row>
    <row r="17" spans="3:27" x14ac:dyDescent="0.35">
      <c r="E17" s="23" t="s">
        <v>281</v>
      </c>
      <c r="G17" s="23" t="s">
        <v>167</v>
      </c>
      <c r="H17" s="23"/>
      <c r="I17" s="85"/>
      <c r="J17" s="84"/>
      <c r="K17" s="56"/>
      <c r="L17" s="56"/>
      <c r="M17" s="56"/>
      <c r="N17" s="56"/>
      <c r="O17" s="56"/>
      <c r="P17" s="248">
        <v>0</v>
      </c>
      <c r="Q17" s="56"/>
      <c r="R17" s="56"/>
      <c r="S17" s="56"/>
    </row>
    <row r="19" spans="3:27" x14ac:dyDescent="0.35">
      <c r="E19" s="23" t="s">
        <v>282</v>
      </c>
      <c r="G19" s="23" t="s">
        <v>283</v>
      </c>
      <c r="I19" t="s">
        <v>154</v>
      </c>
      <c r="J19" s="69"/>
      <c r="K19" s="243">
        <v>1</v>
      </c>
      <c r="L19" s="243">
        <v>1.004</v>
      </c>
      <c r="M19" s="243">
        <v>1.008</v>
      </c>
      <c r="N19" s="243">
        <v>1.0129999999999999</v>
      </c>
      <c r="O19" s="243">
        <v>1.018</v>
      </c>
      <c r="P19" s="69"/>
      <c r="Q19" s="243">
        <v>1.0269999999999999</v>
      </c>
      <c r="R19" s="243">
        <v>1.0429999999999999</v>
      </c>
      <c r="S19" s="243">
        <v>1.0900000000000001</v>
      </c>
      <c r="U19" s="53" t="s">
        <v>284</v>
      </c>
    </row>
    <row r="20" spans="3:27" x14ac:dyDescent="0.35">
      <c r="J20" s="79"/>
      <c r="K20" s="79"/>
      <c r="L20" s="79"/>
      <c r="M20" s="79"/>
      <c r="N20" s="79"/>
      <c r="O20" s="79"/>
      <c r="P20" s="79"/>
      <c r="Q20" s="79"/>
      <c r="R20" s="79"/>
      <c r="S20" s="79"/>
    </row>
    <row r="21" spans="3:27" x14ac:dyDescent="0.35">
      <c r="E21" s="23" t="s">
        <v>285</v>
      </c>
      <c r="G21" s="23" t="s">
        <v>286</v>
      </c>
      <c r="I21" t="s">
        <v>154</v>
      </c>
      <c r="J21" s="69"/>
      <c r="K21" s="243">
        <v>0.22971048873866273</v>
      </c>
      <c r="L21" s="243">
        <v>0.22971048873866273</v>
      </c>
      <c r="M21" s="243">
        <v>0.22971048873866273</v>
      </c>
      <c r="N21" s="243">
        <v>0.22971048873866273</v>
      </c>
      <c r="O21" s="243">
        <v>0.22971048873866273</v>
      </c>
      <c r="P21" s="243">
        <v>0</v>
      </c>
      <c r="Q21" s="243">
        <v>0.22971048873866273</v>
      </c>
      <c r="R21" s="243">
        <v>0.22971048873866273</v>
      </c>
      <c r="S21" s="243">
        <v>0.22971048873866273</v>
      </c>
      <c r="U21" s="53" t="s">
        <v>287</v>
      </c>
    </row>
    <row r="23" spans="3:27" x14ac:dyDescent="0.35">
      <c r="C23" s="26" t="str">
        <f ca="1">INDEX('Version control'!$H$38:$H$61,MATCH($A$1,'Version control'!$F$38:$F$61,0),1)&amp;"-B: Customer contributions under current connection charging policy"</f>
        <v>Input 103-B: Customer contributions under current connection charging policy</v>
      </c>
      <c r="D23" s="26"/>
      <c r="E23" s="26"/>
      <c r="F23" s="26"/>
      <c r="G23" s="26"/>
      <c r="H23" s="26"/>
      <c r="I23" s="26"/>
      <c r="J23" s="26"/>
      <c r="K23" s="26"/>
      <c r="L23" s="26"/>
      <c r="M23" s="26"/>
      <c r="N23" s="26"/>
      <c r="O23" s="26"/>
      <c r="P23" s="26"/>
      <c r="Q23" s="26"/>
      <c r="R23" s="26"/>
      <c r="S23" s="26"/>
      <c r="T23" s="26"/>
      <c r="U23" s="26"/>
      <c r="W23" s="25"/>
      <c r="X23" s="25"/>
      <c r="Y23" s="25"/>
      <c r="Z23" s="25"/>
      <c r="AA23" s="25"/>
    </row>
    <row r="24" spans="3:27" x14ac:dyDescent="0.35">
      <c r="C24" s="27"/>
      <c r="I24" t="s">
        <v>154</v>
      </c>
      <c r="U24" t="s">
        <v>288</v>
      </c>
    </row>
    <row r="25" spans="3:27" x14ac:dyDescent="0.35">
      <c r="C25" s="27"/>
      <c r="E25" s="27" t="s">
        <v>289</v>
      </c>
    </row>
    <row r="26" spans="3:27" x14ac:dyDescent="0.35">
      <c r="F26" s="54" t="s">
        <v>186</v>
      </c>
      <c r="G26" s="54" t="s">
        <v>167</v>
      </c>
      <c r="H26" s="19"/>
      <c r="I26" s="19"/>
      <c r="J26" s="55"/>
      <c r="K26" s="55"/>
      <c r="L26" s="246">
        <v>0</v>
      </c>
      <c r="M26" s="246">
        <v>0</v>
      </c>
      <c r="N26" s="246">
        <v>1.2370413198693E-2</v>
      </c>
      <c r="O26" s="246">
        <v>2.4400925983857801E-2</v>
      </c>
      <c r="P26" s="246"/>
      <c r="Q26" s="246">
        <v>0.34379931777325301</v>
      </c>
      <c r="R26" s="246">
        <v>0.42351973684210498</v>
      </c>
      <c r="S26" s="246">
        <v>0.95595667870036105</v>
      </c>
    </row>
    <row r="27" spans="3:27" x14ac:dyDescent="0.35">
      <c r="F27" s="23" t="s">
        <v>185</v>
      </c>
      <c r="G27" s="23" t="s">
        <v>167</v>
      </c>
      <c r="J27" s="56"/>
      <c r="K27" s="56"/>
      <c r="L27" s="241">
        <v>0</v>
      </c>
      <c r="M27" s="241">
        <v>0</v>
      </c>
      <c r="N27" s="241">
        <v>1.2370413198693E-2</v>
      </c>
      <c r="O27" s="241">
        <v>2.4400925983857801E-2</v>
      </c>
      <c r="P27" s="241"/>
      <c r="Q27" s="241">
        <v>0.34379931777325301</v>
      </c>
      <c r="R27" s="241">
        <v>0.42351973684210498</v>
      </c>
      <c r="S27" s="60"/>
    </row>
    <row r="28" spans="3:27" x14ac:dyDescent="0.35">
      <c r="F28" s="23" t="s">
        <v>184</v>
      </c>
      <c r="G28" s="23" t="s">
        <v>167</v>
      </c>
      <c r="J28" s="56"/>
      <c r="K28" s="56"/>
      <c r="L28" s="241">
        <v>0</v>
      </c>
      <c r="M28" s="241">
        <v>0</v>
      </c>
      <c r="N28" s="241">
        <v>3.4530744799792602E-2</v>
      </c>
      <c r="O28" s="241">
        <v>6.6381013698021907E-2</v>
      </c>
      <c r="P28" s="241"/>
      <c r="Q28" s="241">
        <v>0.38323267678152101</v>
      </c>
      <c r="R28" s="60"/>
      <c r="S28" s="60"/>
    </row>
    <row r="29" spans="3:27" x14ac:dyDescent="0.35">
      <c r="F29" s="57" t="s">
        <v>183</v>
      </c>
      <c r="G29" s="57" t="s">
        <v>167</v>
      </c>
      <c r="H29" s="28"/>
      <c r="I29" s="28"/>
      <c r="J29" s="58"/>
      <c r="K29" s="58"/>
      <c r="L29" s="247">
        <v>0</v>
      </c>
      <c r="M29" s="247">
        <v>0</v>
      </c>
      <c r="N29" s="247">
        <v>3.4530744799792602E-2</v>
      </c>
      <c r="O29" s="247">
        <v>6.6381013698021907E-2</v>
      </c>
      <c r="P29" s="61"/>
      <c r="Q29" s="61"/>
      <c r="R29" s="61"/>
      <c r="S29" s="61"/>
    </row>
    <row r="31" spans="3:27" x14ac:dyDescent="0.35">
      <c r="C31" s="26" t="str">
        <f ca="1">INDEX('Version control'!$H$38:$H$61,MATCH($A$1,'Version control'!$F$38:$F$61,0),1)&amp;"-C: DRM asset costs"</f>
        <v>Input 103-C: DRM asset costs</v>
      </c>
      <c r="D31" s="26"/>
      <c r="E31" s="26"/>
      <c r="F31" s="26"/>
      <c r="G31" s="26"/>
      <c r="H31" s="26"/>
      <c r="I31" s="26"/>
      <c r="J31" s="26"/>
      <c r="K31" s="26"/>
      <c r="L31" s="26"/>
      <c r="M31" s="26"/>
      <c r="N31" s="26"/>
      <c r="O31" s="26"/>
      <c r="P31" s="26"/>
      <c r="Q31" s="26"/>
      <c r="R31" s="26"/>
      <c r="S31" s="26"/>
      <c r="T31" s="26"/>
      <c r="U31" s="26"/>
      <c r="W31" s="25"/>
      <c r="X31" s="25"/>
      <c r="Y31" s="25"/>
      <c r="Z31" s="25"/>
      <c r="AA31" s="25"/>
    </row>
    <row r="33" spans="2:27" x14ac:dyDescent="0.35">
      <c r="E33" s="23" t="s">
        <v>290</v>
      </c>
      <c r="G33" s="23" t="s">
        <v>277</v>
      </c>
      <c r="I33" t="s">
        <v>154</v>
      </c>
      <c r="J33" s="69"/>
      <c r="K33" s="69"/>
      <c r="L33" s="243">
        <v>108094674.5896706</v>
      </c>
      <c r="M33" s="243">
        <v>27969266.206294756</v>
      </c>
      <c r="N33" s="243">
        <v>77054810.558477685</v>
      </c>
      <c r="O33" s="243">
        <v>54515674.089226954</v>
      </c>
      <c r="P33" s="243">
        <v>0</v>
      </c>
      <c r="Q33" s="243">
        <v>176431581.78256679</v>
      </c>
      <c r="R33" s="243">
        <v>67753848.587294519</v>
      </c>
      <c r="S33" s="243">
        <v>175074220.56612813</v>
      </c>
    </row>
    <row r="35" spans="2:27" x14ac:dyDescent="0.35">
      <c r="C35" s="26" t="str">
        <f ca="1">INDEX('Version control'!$H$38:$H$61,MATCH($A$1,'Version control'!$F$38:$F$61,0),1)&amp;"-D: Peaking probabilities by network level"</f>
        <v>Input 103-D: Peaking probabilities by network level</v>
      </c>
      <c r="D35" s="26"/>
      <c r="E35" s="26"/>
      <c r="F35" s="26"/>
      <c r="G35" s="26"/>
      <c r="H35" s="26"/>
      <c r="I35" s="26"/>
      <c r="J35" s="26"/>
      <c r="K35" s="26"/>
      <c r="L35" s="26"/>
      <c r="M35" s="26"/>
      <c r="N35" s="26"/>
      <c r="O35" s="26"/>
      <c r="P35" s="26"/>
      <c r="Q35" s="26"/>
      <c r="R35" s="26"/>
      <c r="S35" s="26"/>
      <c r="T35" s="26"/>
      <c r="U35" s="26"/>
      <c r="W35" s="25"/>
      <c r="X35" s="25"/>
      <c r="Y35" s="25"/>
      <c r="Z35" s="25"/>
      <c r="AA35" s="25"/>
    </row>
    <row r="37" spans="2:27" x14ac:dyDescent="0.35">
      <c r="D37" s="24" t="s">
        <v>291</v>
      </c>
    </row>
    <row r="38" spans="2:27" x14ac:dyDescent="0.35">
      <c r="C38" s="24"/>
    </row>
    <row r="39" spans="2:27" x14ac:dyDescent="0.35">
      <c r="D39" s="27"/>
      <c r="E39" s="27" t="s">
        <v>292</v>
      </c>
      <c r="I39" t="s">
        <v>154</v>
      </c>
      <c r="U39" t="s">
        <v>293</v>
      </c>
    </row>
    <row r="40" spans="2:27" x14ac:dyDescent="0.35">
      <c r="F40" s="19" t="s">
        <v>294</v>
      </c>
      <c r="G40" s="68" t="s">
        <v>167</v>
      </c>
      <c r="H40" s="19"/>
      <c r="I40" s="19"/>
      <c r="J40" s="55"/>
      <c r="K40" s="246">
        <v>0.87869195331374528</v>
      </c>
      <c r="L40" s="246">
        <v>0.74360448555639025</v>
      </c>
      <c r="M40" s="246">
        <v>0.74360448555639025</v>
      </c>
      <c r="N40" s="246">
        <v>0.62012775890469907</v>
      </c>
      <c r="O40" s="246">
        <v>0.62012775890469907</v>
      </c>
      <c r="P40" s="246">
        <v>0</v>
      </c>
      <c r="Q40" s="246">
        <v>0.39082112842901467</v>
      </c>
      <c r="R40" s="246">
        <v>0.39082112842901467</v>
      </c>
      <c r="S40" s="246">
        <v>0.39082112842901467</v>
      </c>
    </row>
    <row r="41" spans="2:27" x14ac:dyDescent="0.35">
      <c r="F41" t="s">
        <v>295</v>
      </c>
      <c r="G41" s="62" t="s">
        <v>167</v>
      </c>
      <c r="J41" s="56"/>
      <c r="K41" s="241">
        <v>0.12130804668625478</v>
      </c>
      <c r="L41" s="241">
        <v>0.24717781803086289</v>
      </c>
      <c r="M41" s="241">
        <v>0.24717781803086289</v>
      </c>
      <c r="N41" s="241">
        <v>0.3658018413361534</v>
      </c>
      <c r="O41" s="241">
        <v>0.3658018413361534</v>
      </c>
      <c r="P41" s="241">
        <v>0</v>
      </c>
      <c r="Q41" s="241">
        <v>0.58480041563597007</v>
      </c>
      <c r="R41" s="241">
        <v>0.58480041563597007</v>
      </c>
      <c r="S41" s="241">
        <v>0.58480041563597007</v>
      </c>
    </row>
    <row r="42" spans="2:27" x14ac:dyDescent="0.35">
      <c r="F42" s="28" t="s">
        <v>257</v>
      </c>
      <c r="G42" s="70" t="s">
        <v>167</v>
      </c>
      <c r="H42" s="28"/>
      <c r="I42" s="28"/>
      <c r="J42" s="58"/>
      <c r="K42" s="247">
        <v>0</v>
      </c>
      <c r="L42" s="247">
        <v>9.2176964127468185E-3</v>
      </c>
      <c r="M42" s="247">
        <v>9.2176964127468185E-3</v>
      </c>
      <c r="N42" s="247">
        <v>1.4070399759147598E-2</v>
      </c>
      <c r="O42" s="247">
        <v>1.4070399759147598E-2</v>
      </c>
      <c r="P42" s="247">
        <v>0</v>
      </c>
      <c r="Q42" s="247">
        <v>2.4378455935015281E-2</v>
      </c>
      <c r="R42" s="247">
        <v>2.4378455935015281E-2</v>
      </c>
      <c r="S42" s="247">
        <v>2.4378455935015281E-2</v>
      </c>
    </row>
    <row r="43" spans="2:27" x14ac:dyDescent="0.35">
      <c r="F43" s="28" t="s">
        <v>296</v>
      </c>
      <c r="G43" s="70" t="s">
        <v>167</v>
      </c>
      <c r="H43" s="28"/>
      <c r="I43" s="28"/>
      <c r="J43" s="58"/>
      <c r="K43" s="247">
        <v>0.72201893599480138</v>
      </c>
      <c r="L43" s="247">
        <v>0.69960500694159566</v>
      </c>
      <c r="M43" s="247">
        <v>0.69960500694159566</v>
      </c>
      <c r="N43" s="247">
        <v>0.58233445141271956</v>
      </c>
      <c r="O43" s="247">
        <v>0.58233445141271956</v>
      </c>
      <c r="P43" s="247">
        <v>0</v>
      </c>
      <c r="Q43" s="247">
        <v>0.35138266357062015</v>
      </c>
      <c r="R43" s="247">
        <v>0.35138266357062015</v>
      </c>
      <c r="S43" s="247">
        <v>0.35138266357062015</v>
      </c>
    </row>
    <row r="45" spans="2:27" x14ac:dyDescent="0.35">
      <c r="B45" s="25" t="s">
        <v>231</v>
      </c>
      <c r="C45" s="25"/>
      <c r="D45" s="25"/>
      <c r="E45" s="25"/>
      <c r="F45" s="25"/>
      <c r="G45" s="25"/>
      <c r="H45" s="25"/>
      <c r="I45" s="25"/>
      <c r="J45" s="25"/>
      <c r="K45" s="25"/>
      <c r="L45" s="25"/>
      <c r="M45" s="25"/>
      <c r="N45" s="25"/>
      <c r="O45" s="25"/>
      <c r="P45" s="25"/>
      <c r="Q45" s="25"/>
      <c r="R45" s="25"/>
      <c r="S45" s="25"/>
      <c r="T45" s="25"/>
      <c r="U45" s="25"/>
      <c r="W45" s="25"/>
      <c r="X45" s="25"/>
      <c r="Y45" s="25"/>
      <c r="Z45" s="25"/>
      <c r="AA45" s="25"/>
    </row>
    <row r="47" spans="2:27" x14ac:dyDescent="0.35">
      <c r="E47" t="s">
        <v>232</v>
      </c>
      <c r="G47" s="6" t="s">
        <v>55</v>
      </c>
      <c r="H47" s="20">
        <f t="array" ref="H47">SUM(IF(ISERROR(H15:AA44), 1))</f>
        <v>0</v>
      </c>
    </row>
    <row r="49" spans="2:27" x14ac:dyDescent="0.35">
      <c r="E49" t="s">
        <v>297</v>
      </c>
      <c r="G49" s="6" t="s">
        <v>55</v>
      </c>
      <c r="H49" s="20">
        <f>IF(K19 = 1, 0, 1)</f>
        <v>0</v>
      </c>
    </row>
    <row r="51" spans="2:27" x14ac:dyDescent="0.35">
      <c r="E51" s="27" t="s">
        <v>298</v>
      </c>
    </row>
    <row r="52" spans="2:27" x14ac:dyDescent="0.35">
      <c r="E52" s="24" t="s">
        <v>299</v>
      </c>
    </row>
    <row r="53" spans="2:27" x14ac:dyDescent="0.35">
      <c r="F53" s="19" t="s">
        <v>300</v>
      </c>
      <c r="G53" s="63" t="s">
        <v>55</v>
      </c>
      <c r="H53" s="64">
        <f>SUM(K53:S53)</f>
        <v>0</v>
      </c>
      <c r="I53" s="19"/>
      <c r="J53" s="55"/>
      <c r="K53" s="64">
        <f>IF(ABS(SUM(K40:K42) - 1) &lt; 10^-check_decimals, 0, 1)</f>
        <v>0</v>
      </c>
      <c r="L53" s="55"/>
      <c r="M53" s="55"/>
      <c r="N53" s="64">
        <f>IF(ABS(SUM(N40:N42) - 1) &lt; 10^-check_decimals, 0, 1)</f>
        <v>0</v>
      </c>
      <c r="O53" s="64">
        <f>IF(ABS(SUM(O40:O42) - 1) &lt; 10^-check_decimals, 0, 1)</f>
        <v>0</v>
      </c>
      <c r="P53" s="55"/>
      <c r="Q53" s="64">
        <f>IF(ABS(SUM(Q40:Q42) - 1) &lt; 10^-check_decimals, 0, 1)</f>
        <v>0</v>
      </c>
      <c r="R53" s="64">
        <f>IF(ABS(SUM(R40:R42) - 1) &lt; 10^-check_decimals, 0, 1)</f>
        <v>0</v>
      </c>
      <c r="S53" s="64">
        <f>IF(ABS(SUM(S40:S42) - 1) &lt; 10^-check_decimals, 0, 1)</f>
        <v>0</v>
      </c>
    </row>
    <row r="54" spans="2:27" x14ac:dyDescent="0.35">
      <c r="F54" s="28" t="s">
        <v>192</v>
      </c>
      <c r="G54" s="40" t="s">
        <v>55</v>
      </c>
      <c r="H54" s="65">
        <f>SUM(K54:S54)</f>
        <v>0</v>
      </c>
      <c r="I54" s="28"/>
      <c r="J54" s="58"/>
      <c r="K54" s="58"/>
      <c r="L54" s="65">
        <f>IF(OR(ABS(SUM(L40:L42) - 1) &lt; 10^-check_decimals, ABS(SUM(L40:L42) - 0) &lt; 10^-check_decimals), 0, 1)</f>
        <v>0</v>
      </c>
      <c r="M54" s="65">
        <f>IF(OR(ABS(SUM(M40:M42) - 1) &lt; 10^-check_decimals, ABS(SUM(M40:M42) - 0) &lt; 10^-check_decimals), 0, 1)</f>
        <v>0</v>
      </c>
      <c r="N54" s="58"/>
      <c r="O54" s="58"/>
      <c r="P54" s="65">
        <f>IF(OR(ABS(SUM(P40:P42) - 1) &lt; 10^-check_decimals, ABS(SUM(P40:P42) - 0) &lt; 10^-check_decimals), 0, 1)</f>
        <v>0</v>
      </c>
      <c r="Q54" s="58"/>
      <c r="R54" s="58"/>
      <c r="S54" s="58"/>
    </row>
    <row r="56" spans="2:27" x14ac:dyDescent="0.35">
      <c r="E56" t="s">
        <v>239</v>
      </c>
      <c r="G56" s="6" t="s">
        <v>55</v>
      </c>
      <c r="H56" s="93">
        <f>SUM(H47:H54)</f>
        <v>0</v>
      </c>
    </row>
    <row r="58" spans="2:27" x14ac:dyDescent="0.35">
      <c r="B58" s="25" t="s">
        <v>106</v>
      </c>
      <c r="C58" s="25"/>
      <c r="D58" s="25"/>
      <c r="E58" s="25"/>
      <c r="F58" s="25"/>
      <c r="G58" s="25"/>
      <c r="H58" s="25"/>
      <c r="I58" s="25"/>
      <c r="J58" s="25"/>
      <c r="K58" s="25"/>
      <c r="L58" s="25"/>
      <c r="M58" s="25"/>
      <c r="N58" s="25"/>
      <c r="O58" s="25"/>
      <c r="P58" s="25"/>
      <c r="Q58" s="25"/>
      <c r="R58" s="25"/>
      <c r="S58" s="25"/>
      <c r="T58" s="25"/>
      <c r="U58" s="25"/>
      <c r="W58" s="25"/>
      <c r="X58" s="25"/>
      <c r="Y58" s="25"/>
      <c r="Z58" s="25"/>
      <c r="AA58" s="25"/>
    </row>
  </sheetData>
  <sheetProtection formatCells="0" formatColumns="0" formatRows="0" sort="0" autoFilter="0"/>
  <conditionalFormatting sqref="H53 K53 N53:O53">
    <cfRule type="cellIs" dxfId="194" priority="14" operator="greaterThan">
      <formula>0</formula>
    </cfRule>
  </conditionalFormatting>
  <conditionalFormatting sqref="H47">
    <cfRule type="cellIs" dxfId="193" priority="12" operator="greaterThan">
      <formula>0</formula>
    </cfRule>
  </conditionalFormatting>
  <conditionalFormatting sqref="Q53:S53">
    <cfRule type="cellIs" dxfId="192" priority="11" operator="greaterThan">
      <formula>0</formula>
    </cfRule>
  </conditionalFormatting>
  <conditionalFormatting sqref="H54">
    <cfRule type="cellIs" dxfId="191" priority="9" operator="greaterThan">
      <formula>0</formula>
    </cfRule>
  </conditionalFormatting>
  <conditionalFormatting sqref="P54">
    <cfRule type="cellIs" dxfId="190" priority="7" operator="greaterThan">
      <formula>0</formula>
    </cfRule>
  </conditionalFormatting>
  <conditionalFormatting sqref="M54">
    <cfRule type="cellIs" dxfId="189" priority="6" operator="greaterThan">
      <formula>0</formula>
    </cfRule>
  </conditionalFormatting>
  <conditionalFormatting sqref="L54">
    <cfRule type="cellIs" dxfId="188" priority="5" operator="greaterThan">
      <formula>0</formula>
    </cfRule>
  </conditionalFormatting>
  <conditionalFormatting sqref="H49">
    <cfRule type="cellIs" dxfId="187" priority="3" operator="greaterThan">
      <formula>0</formula>
    </cfRule>
  </conditionalFormatting>
  <conditionalFormatting sqref="A4:XFD4">
    <cfRule type="expression" dxfId="186" priority="2">
      <formula>LEFT($A$4,1) &lt;&gt; "0"</formula>
    </cfRule>
  </conditionalFormatting>
  <conditionalFormatting sqref="H56">
    <cfRule type="cellIs" dxfId="185" priority="1" operator="greaterThan">
      <formula>0</formula>
    </cfRule>
  </conditionalFormatting>
  <dataValidations count="8">
    <dataValidation type="decimal" operator="greaterThan" allowBlank="1" showInputMessage="1" showErrorMessage="1" sqref="K19" xr:uid="{00000000-0002-0000-0700-000000000000}">
      <formula1>0</formula1>
    </dataValidation>
    <dataValidation type="decimal" allowBlank="1" showInputMessage="1" showErrorMessage="1" errorTitle="Invalid diversity allowance" error="Invalid diversity allowance (negative number or unused cell)." sqref="I17:J17 J19 J15 P17 M15 R15:S15 O15 J21" xr:uid="{00000000-0002-0000-0700-000001000000}">
      <formula1>0</formula1>
      <formula2>4</formula2>
    </dataValidation>
    <dataValidation type="decimal" allowBlank="1" showInputMessage="1" showErrorMessage="1" sqref="L19:O19 Q19:S19" xr:uid="{00000000-0002-0000-0700-000002000000}">
      <formula1>0.001</formula1>
      <formula2>999999.999</formula2>
    </dataValidation>
    <dataValidation type="decimal" allowBlank="1" showInputMessage="1" showErrorMessage="1" errorTitle="Invalid customer contribution" error="Invalid customer contribution (negative number or unused cell)." sqref="L26:S29" xr:uid="{00000000-0002-0000-0700-000003000000}">
      <formula1>0</formula1>
      <formula2>1</formula2>
    </dataValidation>
    <dataValidation type="decimal" operator="greaterThanOrEqual" allowBlank="1" showInputMessage="1" showErrorMessage="1" sqref="L33:S33" xr:uid="{00000000-0002-0000-0700-000004000000}">
      <formula1>0</formula1>
    </dataValidation>
    <dataValidation type="decimal" allowBlank="1" showInputMessage="1" showErrorMessage="1" sqref="P19 P15 K43:S43" xr:uid="{00000000-0002-0000-0700-000005000000}">
      <formula1>0</formula1>
      <formula2>1</formula2>
    </dataValidation>
    <dataValidation type="decimal" allowBlank="1" showErrorMessage="1" prompt="Red, Amber and Green must sum to 100%." sqref="K40:S42" xr:uid="{00000000-0002-0000-0700-000006000000}">
      <formula1>0</formula1>
      <formula2>1</formula2>
    </dataValidation>
    <dataValidation type="decimal" operator="greaterThan" allowBlank="1" showInputMessage="1" showErrorMessage="1" errorTitle="Invalid diversity allowance" error="Invalid diversity allowance (negative number or unused cell)." sqref="N15 K15:L15 Q15" xr:uid="{00000000-0002-0000-0700-000007000000}">
      <formula1>0</formula1>
    </dataValidation>
  </dataValidations>
  <hyperlinks>
    <hyperlink ref="B5:F5" location="'Model map'!A1" display="Click here to return to model map" xr:uid="{00000000-0004-0000-07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theme="5" tint="0.59999389629810485"/>
    <pageSetUpPr fitToPage="1"/>
  </sheetPr>
  <dimension ref="A1:IV117"/>
  <sheetViews>
    <sheetView showGridLines="0" zoomScale="89" zoomScaleNormal="80" workbookViewId="0">
      <pane ySplit="5" topLeftCell="A6" activePane="bottomLeft" state="frozen"/>
      <selection pane="bottomLeft"/>
    </sheetView>
  </sheetViews>
  <sheetFormatPr defaultColWidth="0" defaultRowHeight="14.5" x14ac:dyDescent="0.35"/>
  <cols>
    <col min="1" max="5" width="2.54296875" customWidth="1"/>
    <col min="6" max="6" width="59.54296875" customWidth="1"/>
    <col min="7" max="8" width="20.54296875" customWidth="1"/>
    <col min="9" max="9" width="2.453125" customWidth="1"/>
    <col min="10" max="10" width="50.54296875" customWidth="1"/>
    <col min="11" max="11" width="2.453125" customWidth="1"/>
    <col min="12" max="17" width="15.453125" hidden="1" customWidth="1"/>
    <col min="18" max="27" width="20.54296875" hidden="1" customWidth="1"/>
    <col min="28" max="28" width="2.54296875" hidden="1" customWidth="1"/>
    <col min="29" max="256" width="20.54296875" hidden="1" customWidth="1"/>
    <col min="257" max="16384" width="9.453125" hidden="1"/>
  </cols>
  <sheetData>
    <row r="1" spans="1:27" s="1" customFormat="1" x14ac:dyDescent="0.35">
      <c r="A1" s="1" t="str">
        <f ca="1">MID(CELL("filename",A1),FIND("]",CELL("filename",A1))+1,255)</f>
        <v>General inputs</v>
      </c>
    </row>
    <row r="2" spans="1:27" s="1" customFormat="1" x14ac:dyDescent="0.35">
      <c r="A2" s="1" t="str">
        <f>Cover!D21&amp;" - "&amp;Cover!D23</f>
        <v>Southern Electric Power Distribution - Final</v>
      </c>
    </row>
    <row r="3" spans="1:27" s="5" customFormat="1" x14ac:dyDescent="0.35">
      <c r="A3" s="5" t="str">
        <f>Cover!D2&amp;" - "&amp;Cover!D8&amp;" v"&amp;Cover!D10&amp;" - "&amp;Cover!D19</f>
        <v>CDCM charging model - Release for charge setting v9 - 2024/25</v>
      </c>
    </row>
    <row r="4" spans="1:27" x14ac:dyDescent="0.35">
      <c r="A4" s="11" t="str">
        <f>H115 &amp; IF(H115 = 1, " issue", " issues") &amp;" identified in checks on this sheet"</f>
        <v>0 issues identified in checks on this sheet</v>
      </c>
      <c r="B4" s="12"/>
      <c r="C4" s="12"/>
      <c r="D4" s="12"/>
      <c r="E4" s="12"/>
      <c r="F4" s="12"/>
      <c r="G4" s="12"/>
      <c r="H4" s="13"/>
      <c r="I4" s="13"/>
      <c r="J4" s="12"/>
    </row>
    <row r="5" spans="1:27" x14ac:dyDescent="0.35">
      <c r="B5" s="49" t="s">
        <v>142</v>
      </c>
      <c r="C5" s="50"/>
      <c r="D5" s="50"/>
      <c r="E5" s="50"/>
      <c r="F5" s="50"/>
      <c r="G5" s="18" t="s">
        <v>143</v>
      </c>
      <c r="H5" s="83" t="s">
        <v>144</v>
      </c>
      <c r="J5" s="51" t="s">
        <v>145</v>
      </c>
    </row>
    <row r="6" spans="1:27" x14ac:dyDescent="0.35">
      <c r="G6" s="12"/>
    </row>
    <row r="7" spans="1:27" x14ac:dyDescent="0.35">
      <c r="B7" s="25" t="s">
        <v>10</v>
      </c>
      <c r="C7" s="25"/>
      <c r="D7" s="25"/>
      <c r="E7" s="25"/>
      <c r="F7" s="25"/>
      <c r="G7" s="82"/>
      <c r="H7" s="25"/>
      <c r="I7" s="25"/>
      <c r="J7" s="25"/>
      <c r="L7" s="25"/>
      <c r="M7" s="25"/>
      <c r="N7" s="25"/>
      <c r="O7" s="25"/>
      <c r="P7" s="25"/>
      <c r="Q7" s="25"/>
      <c r="R7" s="25"/>
      <c r="S7" s="25"/>
      <c r="T7" s="25"/>
      <c r="U7" s="25"/>
      <c r="V7" s="25"/>
      <c r="W7" s="25"/>
      <c r="X7" s="25"/>
      <c r="Y7" s="25"/>
      <c r="Z7" s="25"/>
      <c r="AA7" s="25"/>
    </row>
    <row r="8" spans="1:27" x14ac:dyDescent="0.35">
      <c r="G8" s="12"/>
    </row>
    <row r="9" spans="1:27" x14ac:dyDescent="0.35">
      <c r="C9" s="24" t="s">
        <v>301</v>
      </c>
      <c r="G9" s="12"/>
    </row>
    <row r="10" spans="1:27" x14ac:dyDescent="0.35">
      <c r="G10" s="12"/>
    </row>
    <row r="11" spans="1:27" x14ac:dyDescent="0.35">
      <c r="B11" s="25" t="s">
        <v>60</v>
      </c>
      <c r="C11" s="25"/>
      <c r="D11" s="25"/>
      <c r="E11" s="25"/>
      <c r="F11" s="25"/>
      <c r="G11" s="82"/>
      <c r="H11" s="25"/>
      <c r="I11" s="25"/>
      <c r="J11" s="25"/>
      <c r="L11" s="25"/>
      <c r="M11" s="25"/>
      <c r="N11" s="25"/>
      <c r="O11" s="25"/>
      <c r="P11" s="25"/>
      <c r="Q11" s="25"/>
      <c r="R11" s="25"/>
      <c r="S11" s="25"/>
      <c r="T11" s="25"/>
      <c r="U11" s="25"/>
      <c r="V11" s="25"/>
      <c r="W11" s="25"/>
      <c r="X11" s="25"/>
      <c r="Y11" s="25"/>
      <c r="Z11" s="25"/>
      <c r="AA11" s="25"/>
    </row>
    <row r="12" spans="1:27" x14ac:dyDescent="0.35">
      <c r="G12" s="12"/>
    </row>
    <row r="13" spans="1:27" x14ac:dyDescent="0.35">
      <c r="C13" s="26" t="str">
        <f ca="1">INDEX('Version control'!$H$38:$H$61,MATCH($A$1,'Version control'!$F$38:$F$61,0),1)&amp;"-A: Inputs by distribution timeband"</f>
        <v>Input 104-A: Inputs by distribution timeband</v>
      </c>
      <c r="D13" s="26"/>
      <c r="E13" s="26"/>
      <c r="F13" s="26"/>
      <c r="G13" s="86"/>
      <c r="H13" s="26"/>
      <c r="I13" s="26"/>
      <c r="J13" s="26"/>
      <c r="L13" s="25"/>
      <c r="M13" s="25"/>
      <c r="N13" s="25"/>
      <c r="O13" s="25"/>
      <c r="P13" s="25"/>
      <c r="Q13" s="25"/>
      <c r="R13" s="25"/>
      <c r="S13" s="25"/>
      <c r="T13" s="25"/>
      <c r="U13" s="25"/>
      <c r="V13" s="25"/>
      <c r="W13" s="25"/>
      <c r="X13" s="25"/>
      <c r="Y13" s="25"/>
      <c r="Z13" s="25"/>
      <c r="AA13" s="25"/>
    </row>
    <row r="14" spans="1:27" x14ac:dyDescent="0.35">
      <c r="G14" s="12"/>
    </row>
    <row r="15" spans="1:27" x14ac:dyDescent="0.35">
      <c r="D15" s="27" t="s">
        <v>302</v>
      </c>
      <c r="E15" s="27"/>
      <c r="G15" s="12"/>
      <c r="I15" t="s">
        <v>154</v>
      </c>
      <c r="J15" t="s">
        <v>303</v>
      </c>
    </row>
    <row r="16" spans="1:27" x14ac:dyDescent="0.35">
      <c r="E16" s="54" t="s">
        <v>296</v>
      </c>
      <c r="F16" s="54"/>
      <c r="G16" s="75" t="s">
        <v>304</v>
      </c>
      <c r="H16" s="242">
        <v>258</v>
      </c>
    </row>
    <row r="17" spans="3:27" x14ac:dyDescent="0.35">
      <c r="E17" s="23" t="s">
        <v>305</v>
      </c>
      <c r="F17" s="23"/>
      <c r="G17" s="12" t="s">
        <v>304</v>
      </c>
      <c r="H17" s="243">
        <v>4905</v>
      </c>
    </row>
    <row r="18" spans="3:27" x14ac:dyDescent="0.35">
      <c r="E18" s="57" t="s">
        <v>257</v>
      </c>
      <c r="F18" s="57"/>
      <c r="G18" s="76" t="s">
        <v>304</v>
      </c>
      <c r="H18" s="245">
        <v>3597</v>
      </c>
    </row>
    <row r="19" spans="3:27" x14ac:dyDescent="0.35">
      <c r="G19" s="12"/>
      <c r="H19" s="79"/>
    </row>
    <row r="20" spans="3:27" x14ac:dyDescent="0.35">
      <c r="D20" s="27" t="s">
        <v>306</v>
      </c>
      <c r="E20" s="27"/>
      <c r="G20" s="12"/>
      <c r="H20" s="79"/>
      <c r="I20" t="s">
        <v>154</v>
      </c>
      <c r="J20" t="s">
        <v>303</v>
      </c>
    </row>
    <row r="21" spans="3:27" x14ac:dyDescent="0.35">
      <c r="E21" s="19" t="s">
        <v>294</v>
      </c>
      <c r="F21" s="19"/>
      <c r="G21" s="75" t="s">
        <v>304</v>
      </c>
      <c r="H21" s="242">
        <v>783</v>
      </c>
    </row>
    <row r="22" spans="3:27" x14ac:dyDescent="0.35">
      <c r="E22" t="s">
        <v>295</v>
      </c>
      <c r="G22" s="12" t="s">
        <v>304</v>
      </c>
      <c r="H22" s="243">
        <v>4380</v>
      </c>
    </row>
    <row r="23" spans="3:27" x14ac:dyDescent="0.35">
      <c r="E23" s="28" t="s">
        <v>257</v>
      </c>
      <c r="F23" s="28"/>
      <c r="G23" s="76" t="s">
        <v>304</v>
      </c>
      <c r="H23" s="245">
        <v>3597</v>
      </c>
    </row>
    <row r="24" spans="3:27" x14ac:dyDescent="0.35">
      <c r="G24" s="12"/>
    </row>
    <row r="25" spans="3:27" x14ac:dyDescent="0.35">
      <c r="C25" s="26" t="str">
        <f ca="1">INDEX('Version control'!$H$38:$H$61,MATCH($A$1,'Version control'!$F$38:$F$61,0),1)&amp;"-B: LDNO discount inputs"</f>
        <v>Input 104-B: LDNO discount inputs</v>
      </c>
      <c r="D25" s="26"/>
      <c r="E25" s="26"/>
      <c r="F25" s="26"/>
      <c r="G25" s="86"/>
      <c r="H25" s="26"/>
      <c r="I25" s="26"/>
      <c r="J25" s="26"/>
      <c r="L25" s="25"/>
      <c r="M25" s="25"/>
      <c r="N25" s="25"/>
      <c r="O25" s="25"/>
      <c r="P25" s="25"/>
      <c r="Q25" s="25"/>
      <c r="R25" s="25"/>
      <c r="S25" s="25"/>
      <c r="T25" s="25"/>
      <c r="U25" s="25"/>
      <c r="V25" s="25"/>
      <c r="W25" s="25"/>
      <c r="X25" s="25"/>
      <c r="Y25" s="25"/>
      <c r="Z25" s="25"/>
      <c r="AA25" s="25"/>
    </row>
    <row r="26" spans="3:27" x14ac:dyDescent="0.35">
      <c r="G26" s="12"/>
    </row>
    <row r="27" spans="3:27" x14ac:dyDescent="0.35">
      <c r="D27" s="24" t="s">
        <v>307</v>
      </c>
      <c r="E27" s="24"/>
      <c r="G27" s="12"/>
    </row>
    <row r="28" spans="3:27" x14ac:dyDescent="0.35">
      <c r="D28" s="24"/>
      <c r="E28" s="24"/>
      <c r="G28" s="12"/>
    </row>
    <row r="29" spans="3:27" x14ac:dyDescent="0.35">
      <c r="D29" s="27" t="s">
        <v>308</v>
      </c>
      <c r="E29" s="27"/>
      <c r="G29" s="12"/>
      <c r="I29" t="s">
        <v>154</v>
      </c>
      <c r="J29" t="s">
        <v>309</v>
      </c>
    </row>
    <row r="30" spans="3:27" x14ac:dyDescent="0.35">
      <c r="E30" s="54" t="s">
        <v>175</v>
      </c>
      <c r="F30" s="19"/>
      <c r="G30" s="68" t="s">
        <v>167</v>
      </c>
      <c r="H30" s="246">
        <v>0.37097391060683016</v>
      </c>
    </row>
    <row r="31" spans="3:27" x14ac:dyDescent="0.35">
      <c r="E31" s="23" t="s">
        <v>177</v>
      </c>
      <c r="G31" s="62" t="s">
        <v>167</v>
      </c>
      <c r="H31" s="241">
        <v>0.54529202281657996</v>
      </c>
    </row>
    <row r="32" spans="3:27" x14ac:dyDescent="0.35">
      <c r="E32" s="23" t="s">
        <v>178</v>
      </c>
      <c r="G32" s="62" t="s">
        <v>167</v>
      </c>
      <c r="H32" s="241">
        <v>0.25951924258539139</v>
      </c>
    </row>
    <row r="33" spans="3:27" x14ac:dyDescent="0.35">
      <c r="E33" s="57" t="s">
        <v>179</v>
      </c>
      <c r="F33" s="28"/>
      <c r="G33" s="70" t="s">
        <v>167</v>
      </c>
      <c r="H33" s="247">
        <v>0.15142745426120777</v>
      </c>
    </row>
    <row r="34" spans="3:27" x14ac:dyDescent="0.35">
      <c r="G34" s="12"/>
    </row>
    <row r="35" spans="3:27" x14ac:dyDescent="0.35">
      <c r="C35" s="26" t="str">
        <f ca="1">INDEX('Version control'!$H$38:$H$61,MATCH($A$1,'Version control'!$F$38:$F$61,0),1)&amp;"-C: CDCM target revenue"</f>
        <v>Input 104-C: CDCM target revenue</v>
      </c>
      <c r="D35" s="26"/>
      <c r="E35" s="26"/>
      <c r="F35" s="26"/>
      <c r="G35" s="86"/>
      <c r="H35" s="26"/>
      <c r="I35" s="26"/>
      <c r="J35" s="26"/>
      <c r="L35" s="25"/>
      <c r="M35" s="25"/>
      <c r="N35" s="25"/>
      <c r="O35" s="25"/>
      <c r="P35" s="25"/>
      <c r="Q35" s="25"/>
      <c r="R35" s="25"/>
      <c r="S35" s="25"/>
      <c r="T35" s="25"/>
      <c r="U35" s="25"/>
      <c r="V35" s="25"/>
      <c r="W35" s="25"/>
      <c r="X35" s="25"/>
      <c r="Y35" s="25"/>
      <c r="Z35" s="25"/>
      <c r="AA35" s="25"/>
    </row>
    <row r="37" spans="3:27" x14ac:dyDescent="0.35">
      <c r="D37" s="24" t="s">
        <v>310</v>
      </c>
      <c r="E37" s="24"/>
      <c r="G37" s="12"/>
      <c r="H37" s="12"/>
      <c r="I37" t="s">
        <v>154</v>
      </c>
      <c r="J37" t="s">
        <v>1160</v>
      </c>
      <c r="K37" s="12"/>
      <c r="L37" s="12"/>
      <c r="M37" s="12"/>
      <c r="N37" s="12"/>
      <c r="O37" s="12"/>
      <c r="P37" s="12"/>
      <c r="Q37" s="12"/>
      <c r="R37" s="12"/>
      <c r="S37" s="12"/>
    </row>
    <row r="38" spans="3:27" x14ac:dyDescent="0.35">
      <c r="D38" s="24" t="s">
        <v>1157</v>
      </c>
      <c r="E38" s="24"/>
      <c r="G38" s="12"/>
      <c r="H38" s="12"/>
      <c r="I38" s="12"/>
      <c r="J38" s="87"/>
      <c r="K38" s="12"/>
      <c r="L38" s="12"/>
      <c r="M38" s="12"/>
      <c r="N38" s="12"/>
      <c r="O38" s="12"/>
      <c r="P38" s="12"/>
      <c r="Q38" s="12"/>
      <c r="R38" s="12"/>
      <c r="S38" s="12"/>
    </row>
    <row r="39" spans="3:27" x14ac:dyDescent="0.35">
      <c r="E39" s="27"/>
    </row>
    <row r="40" spans="3:27" x14ac:dyDescent="0.35">
      <c r="E40" t="s">
        <v>311</v>
      </c>
      <c r="G40" t="s">
        <v>277</v>
      </c>
      <c r="H40" s="243">
        <v>597138316.17603731</v>
      </c>
    </row>
    <row r="41" spans="3:27" x14ac:dyDescent="0.35">
      <c r="E41" t="s">
        <v>312</v>
      </c>
      <c r="G41" t="s">
        <v>277</v>
      </c>
      <c r="H41" s="243">
        <v>-1123812.9010533376</v>
      </c>
    </row>
    <row r="42" spans="3:27" x14ac:dyDescent="0.35">
      <c r="E42" t="s">
        <v>313</v>
      </c>
      <c r="G42" t="s">
        <v>277</v>
      </c>
      <c r="H42" s="243">
        <v>45067166.510530949</v>
      </c>
    </row>
    <row r="43" spans="3:27" x14ac:dyDescent="0.35">
      <c r="E43" s="28" t="s">
        <v>314</v>
      </c>
      <c r="F43" s="28"/>
      <c r="G43" s="28" t="s">
        <v>283</v>
      </c>
      <c r="H43" s="245">
        <v>1.2761337585410994</v>
      </c>
    </row>
    <row r="44" spans="3:27" x14ac:dyDescent="0.35">
      <c r="E44" t="s">
        <v>315</v>
      </c>
      <c r="G44" t="s">
        <v>277</v>
      </c>
      <c r="H44" s="88">
        <f>SUM(H40:H42)</f>
        <v>641081669.78551495</v>
      </c>
    </row>
    <row r="45" spans="3:27" x14ac:dyDescent="0.35">
      <c r="E45" t="s">
        <v>316</v>
      </c>
      <c r="G45" t="s">
        <v>277</v>
      </c>
      <c r="H45" s="88">
        <f>H44 * (H43 - 1)</f>
        <v>177024291.00967824</v>
      </c>
    </row>
    <row r="46" spans="3:27" x14ac:dyDescent="0.35">
      <c r="H46" s="79"/>
    </row>
    <row r="47" spans="3:27" x14ac:dyDescent="0.35">
      <c r="E47" t="s">
        <v>317</v>
      </c>
      <c r="G47" t="s">
        <v>277</v>
      </c>
      <c r="H47" s="243">
        <v>149546.82325406987</v>
      </c>
    </row>
    <row r="48" spans="3:27" x14ac:dyDescent="0.35">
      <c r="E48" t="s">
        <v>318</v>
      </c>
      <c r="G48" t="s">
        <v>277</v>
      </c>
      <c r="H48" s="243">
        <v>-19764176.135222595</v>
      </c>
    </row>
    <row r="49" spans="1:9" x14ac:dyDescent="0.35">
      <c r="E49" t="s">
        <v>319</v>
      </c>
      <c r="G49" t="s">
        <v>277</v>
      </c>
      <c r="H49" s="243">
        <v>-7566158.7755423272</v>
      </c>
    </row>
    <row r="50" spans="1:9" x14ac:dyDescent="0.35">
      <c r="E50" t="s">
        <v>320</v>
      </c>
      <c r="G50" t="s">
        <v>277</v>
      </c>
      <c r="H50" s="243">
        <v>8205460.0480434187</v>
      </c>
    </row>
    <row r="51" spans="1:9" x14ac:dyDescent="0.35">
      <c r="E51" t="s">
        <v>321</v>
      </c>
      <c r="G51" t="s">
        <v>277</v>
      </c>
      <c r="H51" s="243">
        <v>754951.61789581284</v>
      </c>
    </row>
    <row r="52" spans="1:9" x14ac:dyDescent="0.35">
      <c r="E52" t="s">
        <v>322</v>
      </c>
      <c r="G52" t="s">
        <v>277</v>
      </c>
      <c r="H52" s="243">
        <v>-164308.76166779688</v>
      </c>
    </row>
    <row r="53" spans="1:9" x14ac:dyDescent="0.35">
      <c r="E53" t="s">
        <v>871</v>
      </c>
      <c r="G53" t="s">
        <v>277</v>
      </c>
      <c r="H53" s="243">
        <v>2529968.092596143</v>
      </c>
    </row>
    <row r="54" spans="1:9" x14ac:dyDescent="0.35">
      <c r="E54" t="s">
        <v>872</v>
      </c>
      <c r="G54" t="s">
        <v>277</v>
      </c>
      <c r="H54" s="243">
        <v>6331537.0036689499</v>
      </c>
    </row>
    <row r="55" spans="1:9" s="408" customFormat="1" x14ac:dyDescent="0.35">
      <c r="A55"/>
      <c r="E55" t="s">
        <v>1151</v>
      </c>
      <c r="G55" s="408" t="s">
        <v>277</v>
      </c>
      <c r="H55" s="243">
        <v>0</v>
      </c>
      <c r="I55"/>
    </row>
    <row r="56" spans="1:9" x14ac:dyDescent="0.35">
      <c r="E56" s="28" t="s">
        <v>323</v>
      </c>
      <c r="F56" s="28"/>
      <c r="G56" s="28" t="s">
        <v>277</v>
      </c>
      <c r="H56" s="245">
        <v>0</v>
      </c>
    </row>
    <row r="57" spans="1:9" s="408" customFormat="1" x14ac:dyDescent="0.35">
      <c r="E57" s="408" t="s">
        <v>324</v>
      </c>
      <c r="G57" s="408" t="s">
        <v>277</v>
      </c>
      <c r="H57" s="409">
        <f>SUM(H47:H56)</f>
        <v>-9523180.0869743228</v>
      </c>
    </row>
    <row r="58" spans="1:9" x14ac:dyDescent="0.35">
      <c r="H58" s="79"/>
    </row>
    <row r="59" spans="1:9" x14ac:dyDescent="0.35">
      <c r="E59" t="s">
        <v>325</v>
      </c>
      <c r="G59" t="s">
        <v>277</v>
      </c>
      <c r="H59" s="243">
        <v>1732778.6793116112</v>
      </c>
    </row>
    <row r="60" spans="1:9" x14ac:dyDescent="0.35">
      <c r="E60" t="s">
        <v>326</v>
      </c>
      <c r="G60" t="s">
        <v>277</v>
      </c>
      <c r="H60" s="243">
        <v>4738485.8280000463</v>
      </c>
    </row>
    <row r="61" spans="1:9" x14ac:dyDescent="0.35">
      <c r="E61" t="s">
        <v>327</v>
      </c>
      <c r="G61" t="s">
        <v>277</v>
      </c>
      <c r="H61" s="243">
        <v>0</v>
      </c>
    </row>
    <row r="62" spans="1:9" x14ac:dyDescent="0.35">
      <c r="E62" t="s">
        <v>328</v>
      </c>
      <c r="G62" t="s">
        <v>277</v>
      </c>
      <c r="H62" s="243">
        <v>1145733.4849568435</v>
      </c>
    </row>
    <row r="63" spans="1:9" x14ac:dyDescent="0.35">
      <c r="E63" t="s">
        <v>329</v>
      </c>
      <c r="G63" t="s">
        <v>277</v>
      </c>
      <c r="H63" s="243">
        <v>0</v>
      </c>
    </row>
    <row r="64" spans="1:9" x14ac:dyDescent="0.35">
      <c r="E64" t="s">
        <v>330</v>
      </c>
      <c r="G64" t="s">
        <v>277</v>
      </c>
      <c r="H64" s="243">
        <v>0</v>
      </c>
    </row>
    <row r="65" spans="5:8" x14ac:dyDescent="0.35">
      <c r="E65" t="s">
        <v>331</v>
      </c>
      <c r="G65" t="s">
        <v>277</v>
      </c>
      <c r="H65" s="243">
        <v>0</v>
      </c>
    </row>
    <row r="66" spans="5:8" x14ac:dyDescent="0.35">
      <c r="E66" t="s">
        <v>332</v>
      </c>
      <c r="G66" t="s">
        <v>277</v>
      </c>
      <c r="H66" s="243">
        <v>0</v>
      </c>
    </row>
    <row r="67" spans="5:8" x14ac:dyDescent="0.35">
      <c r="E67" t="s">
        <v>333</v>
      </c>
      <c r="G67" t="s">
        <v>277</v>
      </c>
      <c r="H67" s="243">
        <v>0</v>
      </c>
    </row>
    <row r="68" spans="5:8" x14ac:dyDescent="0.35">
      <c r="E68" t="s">
        <v>334</v>
      </c>
      <c r="G68" t="s">
        <v>277</v>
      </c>
      <c r="H68" s="243">
        <v>0</v>
      </c>
    </row>
    <row r="69" spans="5:8" x14ac:dyDescent="0.35">
      <c r="E69" s="28" t="s">
        <v>335</v>
      </c>
      <c r="F69" s="28"/>
      <c r="G69" s="28" t="s">
        <v>277</v>
      </c>
      <c r="H69" s="245">
        <v>0</v>
      </c>
    </row>
    <row r="70" spans="5:8" x14ac:dyDescent="0.35">
      <c r="E70" t="s">
        <v>336</v>
      </c>
      <c r="G70" t="s">
        <v>277</v>
      </c>
      <c r="H70" s="88">
        <f>SUM(H59:H69)</f>
        <v>7616997.9922685008</v>
      </c>
    </row>
    <row r="71" spans="5:8" x14ac:dyDescent="0.35">
      <c r="H71" s="79"/>
    </row>
    <row r="72" spans="5:8" x14ac:dyDescent="0.35">
      <c r="E72" s="28" t="s">
        <v>337</v>
      </c>
      <c r="F72" s="28"/>
      <c r="G72" s="28" t="s">
        <v>277</v>
      </c>
      <c r="H72" s="245">
        <v>219010055.19816601</v>
      </c>
    </row>
    <row r="73" spans="5:8" x14ac:dyDescent="0.35">
      <c r="E73" t="s">
        <v>338</v>
      </c>
      <c r="G73" t="s">
        <v>277</v>
      </c>
      <c r="H73" s="88">
        <f>H72 + H70 + H57 + H45 + H44</f>
        <v>1035209833.8986534</v>
      </c>
    </row>
    <row r="74" spans="5:8" x14ac:dyDescent="0.35">
      <c r="H74" s="79"/>
    </row>
    <row r="75" spans="5:8" x14ac:dyDescent="0.35">
      <c r="E75" t="s">
        <v>339</v>
      </c>
      <c r="G75" t="s">
        <v>277</v>
      </c>
      <c r="H75" s="243"/>
    </row>
    <row r="76" spans="5:8" x14ac:dyDescent="0.35">
      <c r="E76" t="s">
        <v>340</v>
      </c>
      <c r="G76" t="s">
        <v>277</v>
      </c>
      <c r="H76" s="243"/>
    </row>
    <row r="77" spans="5:8" x14ac:dyDescent="0.35">
      <c r="E77" t="s">
        <v>341</v>
      </c>
      <c r="G77" t="s">
        <v>277</v>
      </c>
      <c r="H77" s="243"/>
    </row>
    <row r="78" spans="5:8" x14ac:dyDescent="0.35">
      <c r="E78" t="s">
        <v>342</v>
      </c>
      <c r="G78" t="s">
        <v>277</v>
      </c>
      <c r="H78" s="243"/>
    </row>
    <row r="79" spans="5:8" x14ac:dyDescent="0.35">
      <c r="E79" s="28" t="s">
        <v>343</v>
      </c>
      <c r="F79" s="28"/>
      <c r="G79" s="28" t="s">
        <v>277</v>
      </c>
      <c r="H79" s="245"/>
    </row>
    <row r="80" spans="5:8" x14ac:dyDescent="0.35">
      <c r="E80" s="28" t="s">
        <v>344</v>
      </c>
      <c r="F80" s="28"/>
      <c r="G80" s="28" t="s">
        <v>277</v>
      </c>
      <c r="H80" s="90">
        <f>SUM(H75:H79)</f>
        <v>0</v>
      </c>
    </row>
    <row r="81" spans="3:27" x14ac:dyDescent="0.35">
      <c r="E81" t="s">
        <v>345</v>
      </c>
      <c r="G81" t="s">
        <v>277</v>
      </c>
      <c r="H81" s="89">
        <f>H73+H80</f>
        <v>1035209833.8986534</v>
      </c>
    </row>
    <row r="82" spans="3:27" x14ac:dyDescent="0.35">
      <c r="H82" s="79"/>
    </row>
    <row r="83" spans="3:27" x14ac:dyDescent="0.35">
      <c r="E83" t="s">
        <v>346</v>
      </c>
      <c r="G83" t="s">
        <v>277</v>
      </c>
      <c r="H83" s="243">
        <v>45359575.314925618</v>
      </c>
    </row>
    <row r="84" spans="3:27" x14ac:dyDescent="0.35">
      <c r="E84" t="s">
        <v>347</v>
      </c>
      <c r="G84" t="s">
        <v>277</v>
      </c>
      <c r="H84" s="243"/>
    </row>
    <row r="85" spans="3:27" x14ac:dyDescent="0.35">
      <c r="E85" t="s">
        <v>348</v>
      </c>
      <c r="G85" t="s">
        <v>277</v>
      </c>
      <c r="H85" s="243"/>
    </row>
    <row r="86" spans="3:27" x14ac:dyDescent="0.35">
      <c r="E86" s="28" t="s">
        <v>349</v>
      </c>
      <c r="F86" s="28"/>
      <c r="G86" s="28" t="s">
        <v>277</v>
      </c>
      <c r="H86" s="245"/>
    </row>
    <row r="87" spans="3:27" x14ac:dyDescent="0.35">
      <c r="E87" t="s">
        <v>350</v>
      </c>
      <c r="G87" t="s">
        <v>277</v>
      </c>
      <c r="H87" s="88">
        <f>SUM(H83:H86)</f>
        <v>45359575.314925618</v>
      </c>
    </row>
    <row r="88" spans="3:27" x14ac:dyDescent="0.35">
      <c r="E88" s="19" t="s">
        <v>351</v>
      </c>
      <c r="F88" s="19"/>
      <c r="G88" s="19" t="s">
        <v>277</v>
      </c>
      <c r="H88" s="91">
        <f>H81-H87</f>
        <v>989850258.58372772</v>
      </c>
    </row>
    <row r="89" spans="3:27" x14ac:dyDescent="0.35">
      <c r="H89" s="92"/>
    </row>
    <row r="90" spans="3:27" x14ac:dyDescent="0.35">
      <c r="C90" s="26" t="str">
        <f ca="1">INDEX('Version control'!$H$38:$H$61,MATCH($A$1,'Version control'!$F$38:$F$61,0),1)&amp;"-D: Financial and general assumptions"</f>
        <v>Input 104-D: Financial and general assumptions</v>
      </c>
      <c r="D90" s="26"/>
      <c r="E90" s="26"/>
      <c r="F90" s="26"/>
      <c r="G90" s="86"/>
      <c r="H90" s="26"/>
      <c r="I90" s="26"/>
      <c r="J90" s="26"/>
      <c r="L90" s="25"/>
      <c r="M90" s="25"/>
      <c r="N90" s="25"/>
      <c r="O90" s="25"/>
      <c r="P90" s="25"/>
      <c r="Q90" s="25"/>
      <c r="R90" s="25"/>
      <c r="S90" s="25"/>
      <c r="T90" s="25"/>
      <c r="U90" s="25"/>
      <c r="V90" s="25"/>
      <c r="W90" s="25"/>
      <c r="X90" s="25"/>
      <c r="Y90" s="25"/>
      <c r="Z90" s="25"/>
      <c r="AA90" s="25"/>
    </row>
    <row r="92" spans="3:27" x14ac:dyDescent="0.35">
      <c r="E92" s="23" t="s">
        <v>352</v>
      </c>
      <c r="G92" t="s">
        <v>167</v>
      </c>
      <c r="H92" s="248">
        <v>3.7400000000000003E-2</v>
      </c>
      <c r="I92" t="s">
        <v>154</v>
      </c>
      <c r="J92" s="3" t="s">
        <v>165</v>
      </c>
    </row>
    <row r="93" spans="3:27" x14ac:dyDescent="0.35">
      <c r="E93" s="23" t="s">
        <v>127</v>
      </c>
      <c r="G93" s="23" t="s">
        <v>353</v>
      </c>
      <c r="H93" s="233">
        <v>365</v>
      </c>
    </row>
    <row r="94" spans="3:27" x14ac:dyDescent="0.35">
      <c r="E94" t="s">
        <v>354</v>
      </c>
      <c r="G94" t="s">
        <v>147</v>
      </c>
      <c r="H94" s="93">
        <f>days_in_year * hours_in_day</f>
        <v>8760</v>
      </c>
    </row>
    <row r="96" spans="3:27" x14ac:dyDescent="0.35">
      <c r="C96" s="26" t="str">
        <f ca="1">INDEX('Version control'!$H$38:$H$61,MATCH($A$1,'Version control'!$F$38:$F$61,0),1)&amp;"-E: Transmission exit charges"</f>
        <v>Input 104-E: Transmission exit charges</v>
      </c>
      <c r="D96" s="26"/>
      <c r="E96" s="26"/>
      <c r="F96" s="26"/>
      <c r="G96" s="86"/>
      <c r="H96" s="26"/>
      <c r="I96" s="26"/>
      <c r="J96" s="26"/>
      <c r="L96" s="25"/>
      <c r="M96" s="25"/>
      <c r="N96" s="25"/>
      <c r="O96" s="25"/>
      <c r="P96" s="25"/>
      <c r="Q96" s="25"/>
      <c r="R96" s="25"/>
      <c r="S96" s="25"/>
      <c r="T96" s="25"/>
      <c r="U96" s="25"/>
      <c r="V96" s="25"/>
      <c r="W96" s="25"/>
      <c r="X96" s="25"/>
      <c r="Y96" s="25"/>
      <c r="Z96" s="25"/>
      <c r="AA96" s="25"/>
    </row>
    <row r="98" spans="2:27" x14ac:dyDescent="0.35">
      <c r="E98" s="23" t="s">
        <v>355</v>
      </c>
      <c r="G98" t="s">
        <v>356</v>
      </c>
      <c r="H98" s="243">
        <v>14861765.183210503</v>
      </c>
      <c r="I98" t="s">
        <v>154</v>
      </c>
      <c r="J98" t="s">
        <v>357</v>
      </c>
    </row>
    <row r="99" spans="2:27" x14ac:dyDescent="0.35">
      <c r="H99" s="79"/>
    </row>
    <row r="100" spans="2:27" x14ac:dyDescent="0.35">
      <c r="C100" s="26" t="str">
        <f ca="1">INDEX('Version control'!$H$38:$H$61,MATCH($A$1,'Version control'!$F$38:$F$61,0),1)&amp;"-F: Other expenditure"</f>
        <v>Input 104-F: Other expenditure</v>
      </c>
      <c r="D100" s="26"/>
      <c r="E100" s="26"/>
      <c r="F100" s="26"/>
      <c r="G100" s="86"/>
      <c r="H100" s="80"/>
      <c r="I100" s="26"/>
      <c r="J100" s="26"/>
      <c r="L100" s="25"/>
      <c r="M100" s="25"/>
      <c r="N100" s="25"/>
      <c r="O100" s="25"/>
      <c r="P100" s="25"/>
      <c r="Q100" s="25"/>
      <c r="R100" s="25"/>
      <c r="S100" s="25"/>
      <c r="T100" s="25"/>
      <c r="U100" s="25"/>
      <c r="V100" s="25"/>
      <c r="W100" s="25"/>
      <c r="X100" s="25"/>
      <c r="Y100" s="25"/>
      <c r="Z100" s="25"/>
      <c r="AA100" s="25"/>
    </row>
    <row r="101" spans="2:27" x14ac:dyDescent="0.35">
      <c r="H101" s="79"/>
    </row>
    <row r="102" spans="2:27" x14ac:dyDescent="0.35">
      <c r="E102" s="27" t="s">
        <v>358</v>
      </c>
      <c r="F102" s="27"/>
      <c r="H102" s="79"/>
      <c r="I102" t="s">
        <v>154</v>
      </c>
      <c r="J102" t="s">
        <v>170</v>
      </c>
    </row>
    <row r="103" spans="2:27" x14ac:dyDescent="0.35">
      <c r="F103" s="54" t="s">
        <v>359</v>
      </c>
      <c r="G103" s="19" t="s">
        <v>356</v>
      </c>
      <c r="H103" s="242">
        <v>95907521.894893765</v>
      </c>
    </row>
    <row r="104" spans="2:27" x14ac:dyDescent="0.35">
      <c r="F104" s="23" t="s">
        <v>360</v>
      </c>
      <c r="G104" t="s">
        <v>356</v>
      </c>
      <c r="H104" s="243">
        <v>207411213.46439716</v>
      </c>
      <c r="R104" s="78"/>
      <c r="S104" s="78"/>
    </row>
    <row r="105" spans="2:27" x14ac:dyDescent="0.35">
      <c r="F105" s="57" t="s">
        <v>361</v>
      </c>
      <c r="G105" s="28" t="s">
        <v>356</v>
      </c>
      <c r="H105" s="245">
        <v>44300320</v>
      </c>
      <c r="R105" s="78"/>
      <c r="S105" s="78"/>
    </row>
    <row r="107" spans="2:27" x14ac:dyDescent="0.35">
      <c r="B107" s="25" t="s">
        <v>231</v>
      </c>
      <c r="C107" s="25"/>
      <c r="D107" s="25"/>
      <c r="E107" s="25"/>
      <c r="F107" s="25"/>
      <c r="G107" s="25"/>
      <c r="H107" s="25"/>
      <c r="I107" s="25"/>
      <c r="J107" s="25"/>
      <c r="L107" s="25"/>
      <c r="M107" s="25"/>
      <c r="N107" s="25"/>
      <c r="O107" s="25"/>
      <c r="P107" s="25"/>
      <c r="Q107" s="25"/>
      <c r="R107" s="25"/>
      <c r="S107" s="25"/>
      <c r="T107" s="25"/>
      <c r="U107" s="25"/>
      <c r="V107" s="25"/>
      <c r="W107" s="25"/>
      <c r="X107" s="25"/>
      <c r="Y107" s="25"/>
      <c r="Z107" s="25"/>
      <c r="AA107" s="25"/>
    </row>
    <row r="109" spans="2:27" x14ac:dyDescent="0.35">
      <c r="E109" t="s">
        <v>232</v>
      </c>
      <c r="G109" s="6" t="s">
        <v>55</v>
      </c>
      <c r="H109" s="20">
        <f t="array" ref="H109">SUM(IF(ISERROR(H6:H106), 1))</f>
        <v>0</v>
      </c>
    </row>
    <row r="111" spans="2:27" x14ac:dyDescent="0.35">
      <c r="E111" s="27" t="s">
        <v>362</v>
      </c>
    </row>
    <row r="112" spans="2:27" x14ac:dyDescent="0.35">
      <c r="F112" s="19" t="s">
        <v>363</v>
      </c>
      <c r="G112" s="63" t="s">
        <v>55</v>
      </c>
      <c r="H112" s="64">
        <f>IF(SUM(H16:H18) = hours_in_year, 0, 1)</f>
        <v>0</v>
      </c>
    </row>
    <row r="113" spans="2:27" x14ac:dyDescent="0.35">
      <c r="F113" s="28" t="s">
        <v>364</v>
      </c>
      <c r="G113" s="40" t="s">
        <v>55</v>
      </c>
      <c r="H113" s="65">
        <f>IF(SUM(H21:H23) = hours_in_year, 0, 1)</f>
        <v>0</v>
      </c>
    </row>
    <row r="115" spans="2:27" x14ac:dyDescent="0.35">
      <c r="E115" t="s">
        <v>239</v>
      </c>
      <c r="G115" s="6" t="s">
        <v>55</v>
      </c>
      <c r="H115" s="93">
        <f>SUM(H109,H112:H113)</f>
        <v>0</v>
      </c>
    </row>
    <row r="117" spans="2:27" x14ac:dyDescent="0.35">
      <c r="B117" s="25" t="s">
        <v>106</v>
      </c>
      <c r="C117" s="25"/>
      <c r="D117" s="25"/>
      <c r="E117" s="25"/>
      <c r="F117" s="25"/>
      <c r="G117" s="25"/>
      <c r="H117" s="25"/>
      <c r="I117" s="25"/>
      <c r="J117" s="25"/>
      <c r="L117" s="25"/>
      <c r="M117" s="25"/>
      <c r="N117" s="25"/>
      <c r="O117" s="25"/>
      <c r="P117" s="25"/>
      <c r="Q117" s="25"/>
      <c r="R117" s="25"/>
      <c r="S117" s="25"/>
      <c r="T117" s="25"/>
      <c r="U117" s="25"/>
      <c r="V117" s="25"/>
      <c r="W117" s="25"/>
      <c r="X117" s="25"/>
      <c r="Y117" s="25"/>
      <c r="Z117" s="25"/>
      <c r="AA117" s="25"/>
    </row>
  </sheetData>
  <sheetProtection formatCells="0" formatColumns="0" formatRows="0" sort="0" autoFilter="0"/>
  <conditionalFormatting sqref="H109">
    <cfRule type="cellIs" dxfId="184" priority="5" operator="greaterThan">
      <formula>0</formula>
    </cfRule>
  </conditionalFormatting>
  <conditionalFormatting sqref="H112:H114">
    <cfRule type="cellIs" dxfId="183" priority="4" operator="greaterThan">
      <formula>0</formula>
    </cfRule>
  </conditionalFormatting>
  <conditionalFormatting sqref="A4:XFD4">
    <cfRule type="expression" dxfId="182" priority="2">
      <formula>LEFT($A$4,1) &lt;&gt; "0"</formula>
    </cfRule>
  </conditionalFormatting>
  <conditionalFormatting sqref="H115">
    <cfRule type="cellIs" dxfId="181" priority="1" operator="greaterThan">
      <formula>0</formula>
    </cfRule>
  </conditionalFormatting>
  <dataValidations count="5">
    <dataValidation type="decimal" allowBlank="1" showInputMessage="1" showErrorMessage="1" errorTitle="Invalid LDNO discount" error="Invalid LDNO discount (negative number or unused cell)." sqref="H30:H33" xr:uid="{00000000-0002-0000-0800-000000000000}">
      <formula1>0</formula1>
      <formula2>1</formula2>
    </dataValidation>
    <dataValidation type="decimal" allowBlank="1" showInputMessage="1" showErrorMessage="1" sqref="H93" xr:uid="{00000000-0002-0000-0800-000001000000}">
      <formula1>365</formula1>
      <formula2>366</formula2>
    </dataValidation>
    <dataValidation type="decimal" operator="greaterThanOrEqual" allowBlank="1" showInputMessage="1" showErrorMessage="1" sqref="H103:H105 H16:H18 H98 H21:H23" xr:uid="{00000000-0002-0000-0800-000002000000}">
      <formula1>0</formula1>
    </dataValidation>
    <dataValidation type="decimal" operator="greaterThanOrEqual" allowBlank="1" showInputMessage="1" showErrorMessage="1" error="The rate of return must be a non-negative percentage value." sqref="H92" xr:uid="{00000000-0002-0000-0800-000003000000}">
      <formula1>0</formula1>
    </dataValidation>
    <dataValidation type="whole" allowBlank="1" showInputMessage="1" showErrorMessage="1" sqref="H94" xr:uid="{00000000-0002-0000-0800-000004000000}">
      <formula1>0</formula1>
      <formula2>9999</formula2>
    </dataValidation>
  </dataValidations>
  <hyperlinks>
    <hyperlink ref="B5:F5" location="'Model map'!A1" display="Click here to return to model map" xr:uid="{00000000-0004-0000-0800-000000000000}"/>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890CFB661AC84D96B569471696442A" ma:contentTypeVersion="14" ma:contentTypeDescription="Create a new document." ma:contentTypeScope="" ma:versionID="4b6184ced0be05d993af45421b58c4eb">
  <xsd:schema xmlns:xsd="http://www.w3.org/2001/XMLSchema" xmlns:xs="http://www.w3.org/2001/XMLSchema" xmlns:p="http://schemas.microsoft.com/office/2006/metadata/properties" xmlns:ns2="375f405a-1d4b-4796-a028-0e90b458cbcf" xmlns:ns3="4fb325ff-59f4-4202-984d-cc4ef0b29ee2" targetNamespace="http://schemas.microsoft.com/office/2006/metadata/properties" ma:root="true" ma:fieldsID="f2404c6ce35e8ac5bf26941211a2c1fb" ns2:_="" ns3:_="">
    <xsd:import namespace="375f405a-1d4b-4796-a028-0e90b458cbcf"/>
    <xsd:import namespace="4fb325ff-59f4-4202-984d-cc4ef0b29ee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5f405a-1d4b-4796-a028-0e90b458cb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fb325ff-59f4-4202-984d-cc4ef0b29ee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ff50c57-be38-42b6-82d3-c6d9d1240e9f}" ma:internalName="TaxCatchAll" ma:showField="CatchAllData" ma:web="4fb325ff-59f4-4202-984d-cc4ef0b29e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75f405a-1d4b-4796-a028-0e90b458cbcf">
      <Terms xmlns="http://schemas.microsoft.com/office/infopath/2007/PartnerControls"/>
    </lcf76f155ced4ddcb4097134ff3c332f>
    <TaxCatchAll xmlns="4fb325ff-59f4-4202-984d-cc4ef0b29ee2" xsi:nil="true"/>
  </documentManagement>
</p:properties>
</file>

<file path=customXml/itemProps1.xml><?xml version="1.0" encoding="utf-8"?>
<ds:datastoreItem xmlns:ds="http://schemas.openxmlformats.org/officeDocument/2006/customXml" ds:itemID="{5644E141-8F4C-4DAB-B1CF-6F8571677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5f405a-1d4b-4796-a028-0e90b458cbcf"/>
    <ds:schemaRef ds:uri="4fb325ff-59f4-4202-984d-cc4ef0b29e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3.xml><?xml version="1.0" encoding="utf-8"?>
<ds:datastoreItem xmlns:ds="http://schemas.openxmlformats.org/officeDocument/2006/customXml" ds:itemID="{40433340-7BEC-4F3D-99D4-81DABA0ADC90}">
  <ds:schemaRefs>
    <ds:schemaRef ds:uri="375f405a-1d4b-4796-a028-0e90b458cbcf"/>
    <ds:schemaRef ds:uri="4fb325ff-59f4-4202-984d-cc4ef0b29ee2"/>
    <ds:schemaRef ds:uri="http://schemas.microsoft.com/office/2006/documentManagement/types"/>
    <ds:schemaRef ds:uri="http://purl.org/dc/dcmitype/"/>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Mott, Charles</cp:lastModifiedBy>
  <cp:revision/>
  <dcterms:created xsi:type="dcterms:W3CDTF">2017-07-12T09:37:31Z</dcterms:created>
  <dcterms:modified xsi:type="dcterms:W3CDTF">2022-12-16T11:11:44Z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0x010100B0890CFB661AC84D96B569471696442A</vt:lpwstr>
  </property>
  <property fmtid="{D5CDD505-2E9C-101B-9397-08002B2CF9AE}" pid="3" name="MediaServiceImageTags">
    <vt:lpwstr/>
  </property>
</Properties>
</file>